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82B69A7-F506-4153-ADE1-E059E66476F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Проба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9" i="12" l="1"/>
  <c r="F157" i="12"/>
  <c r="F151" i="12"/>
  <c r="F28" i="12"/>
  <c r="F34" i="12"/>
  <c r="F355" i="12" l="1"/>
  <c r="F360" i="12"/>
  <c r="F366" i="12"/>
  <c r="H366" i="12" s="1"/>
  <c r="F375" i="12"/>
  <c r="H375" i="12" s="1"/>
  <c r="F383" i="12"/>
  <c r="F386" i="12"/>
  <c r="H386" i="12" s="1"/>
  <c r="F385" i="12"/>
  <c r="H385" i="12" s="1"/>
  <c r="H387" i="12" s="1"/>
  <c r="H383" i="12"/>
  <c r="F348" i="12"/>
  <c r="F342" i="12"/>
  <c r="F258" i="12"/>
  <c r="F261" i="12" s="1"/>
  <c r="H261" i="12" s="1"/>
  <c r="F256" i="12"/>
  <c r="H256" i="12" s="1"/>
  <c r="F255" i="12"/>
  <c r="H255" i="12" s="1"/>
  <c r="F253" i="12"/>
  <c r="H253" i="12" s="1"/>
  <c r="D273" i="12"/>
  <c r="F276" i="12"/>
  <c r="F279" i="12" s="1"/>
  <c r="H279" i="12" s="1"/>
  <c r="F270" i="12"/>
  <c r="F274" i="12" s="1"/>
  <c r="H274" i="12" s="1"/>
  <c r="F268" i="12"/>
  <c r="H268" i="12" s="1"/>
  <c r="F267" i="12"/>
  <c r="H267" i="12" s="1"/>
  <c r="F265" i="12"/>
  <c r="H265" i="12" s="1"/>
  <c r="D309" i="12"/>
  <c r="F312" i="12"/>
  <c r="F315" i="12" s="1"/>
  <c r="H315" i="12" s="1"/>
  <c r="F306" i="12"/>
  <c r="F304" i="12"/>
  <c r="H304" i="12" s="1"/>
  <c r="F303" i="12"/>
  <c r="H303" i="12" s="1"/>
  <c r="F301" i="12"/>
  <c r="H301" i="12" s="1"/>
  <c r="F294" i="12"/>
  <c r="F295" i="12" s="1"/>
  <c r="H295" i="12" s="1"/>
  <c r="F288" i="12"/>
  <c r="F289" i="12" s="1"/>
  <c r="H289" i="12" s="1"/>
  <c r="D228" i="12"/>
  <c r="F245" i="12"/>
  <c r="F238" i="12"/>
  <c r="F243" i="12" s="1"/>
  <c r="F232" i="12"/>
  <c r="F236" i="12" s="1"/>
  <c r="H236" i="12" s="1"/>
  <c r="G200" i="12"/>
  <c r="G199" i="12"/>
  <c r="F196" i="12"/>
  <c r="F197" i="12" s="1"/>
  <c r="H197" i="12" s="1"/>
  <c r="G194" i="12"/>
  <c r="G193" i="12"/>
  <c r="F190" i="12"/>
  <c r="F193" i="12" s="1"/>
  <c r="G188" i="12"/>
  <c r="F188" i="12"/>
  <c r="F186" i="12"/>
  <c r="H186" i="12" s="1"/>
  <c r="G56" i="12"/>
  <c r="G55" i="12"/>
  <c r="F52" i="12"/>
  <c r="F55" i="12" s="1"/>
  <c r="G50" i="12"/>
  <c r="G49" i="12"/>
  <c r="F46" i="12"/>
  <c r="F49" i="12" s="1"/>
  <c r="G44" i="12"/>
  <c r="F44" i="12"/>
  <c r="F42" i="12"/>
  <c r="H42" i="12" s="1"/>
  <c r="D168" i="12"/>
  <c r="F168" i="12" s="1"/>
  <c r="H168" i="12" s="1"/>
  <c r="G182" i="12"/>
  <c r="G181" i="12"/>
  <c r="F178" i="12"/>
  <c r="F181" i="12" s="1"/>
  <c r="G176" i="12"/>
  <c r="G175" i="12"/>
  <c r="F172" i="12"/>
  <c r="F175" i="12" s="1"/>
  <c r="F170" i="12"/>
  <c r="H170" i="12" s="1"/>
  <c r="G169" i="12"/>
  <c r="F169" i="12"/>
  <c r="G167" i="12"/>
  <c r="F167" i="12"/>
  <c r="F165" i="12"/>
  <c r="H165" i="12" s="1"/>
  <c r="G161" i="12"/>
  <c r="G160" i="12"/>
  <c r="F160" i="12"/>
  <c r="G155" i="12"/>
  <c r="G154" i="12"/>
  <c r="F154" i="12"/>
  <c r="F149" i="12"/>
  <c r="H149" i="12" s="1"/>
  <c r="G148" i="12"/>
  <c r="F148" i="12"/>
  <c r="D147" i="12"/>
  <c r="F147" i="12" s="1"/>
  <c r="H147" i="12" s="1"/>
  <c r="G146" i="12"/>
  <c r="F146" i="12"/>
  <c r="F144" i="12"/>
  <c r="H144" i="12" s="1"/>
  <c r="D126" i="12"/>
  <c r="F126" i="12" s="1"/>
  <c r="H126" i="12" s="1"/>
  <c r="G140" i="12"/>
  <c r="G139" i="12"/>
  <c r="F136" i="12"/>
  <c r="F139" i="12" s="1"/>
  <c r="G134" i="12"/>
  <c r="G133" i="12"/>
  <c r="F130" i="12"/>
  <c r="F133" i="12" s="1"/>
  <c r="F128" i="12"/>
  <c r="H128" i="12" s="1"/>
  <c r="G127" i="12"/>
  <c r="F127" i="12"/>
  <c r="G125" i="12"/>
  <c r="F125" i="12"/>
  <c r="F123" i="12"/>
  <c r="H123" i="12" s="1"/>
  <c r="G119" i="12"/>
  <c r="G118" i="12"/>
  <c r="F115" i="12"/>
  <c r="F116" i="12" s="1"/>
  <c r="H116" i="12" s="1"/>
  <c r="G113" i="12"/>
  <c r="G112" i="12"/>
  <c r="F109" i="12"/>
  <c r="F112" i="12" s="1"/>
  <c r="F107" i="12"/>
  <c r="H107" i="12" s="1"/>
  <c r="G106" i="12"/>
  <c r="F106" i="12"/>
  <c r="D105" i="12"/>
  <c r="F105" i="12" s="1"/>
  <c r="H105" i="12" s="1"/>
  <c r="G104" i="12"/>
  <c r="F104" i="12"/>
  <c r="F102" i="12"/>
  <c r="H102" i="12" s="1"/>
  <c r="D84" i="12"/>
  <c r="F84" i="12" s="1"/>
  <c r="H84" i="12" s="1"/>
  <c r="G221" i="12"/>
  <c r="G220" i="12"/>
  <c r="F217" i="12"/>
  <c r="F220" i="12" s="1"/>
  <c r="G215" i="12"/>
  <c r="G214" i="12"/>
  <c r="F211" i="12"/>
  <c r="F215" i="12" s="1"/>
  <c r="F209" i="12"/>
  <c r="H209" i="12" s="1"/>
  <c r="G208" i="12"/>
  <c r="F208" i="12"/>
  <c r="D207" i="12"/>
  <c r="F207" i="12" s="1"/>
  <c r="H207" i="12" s="1"/>
  <c r="G206" i="12"/>
  <c r="F206" i="12"/>
  <c r="F204" i="12"/>
  <c r="H204" i="12" s="1"/>
  <c r="G98" i="12"/>
  <c r="G97" i="12"/>
  <c r="F94" i="12"/>
  <c r="F95" i="12" s="1"/>
  <c r="H95" i="12" s="1"/>
  <c r="G92" i="12"/>
  <c r="G91" i="12"/>
  <c r="F88" i="12"/>
  <c r="F91" i="12" s="1"/>
  <c r="F86" i="12"/>
  <c r="H86" i="12" s="1"/>
  <c r="G85" i="12"/>
  <c r="F85" i="12"/>
  <c r="G83" i="12"/>
  <c r="F83" i="12"/>
  <c r="F81" i="12"/>
  <c r="H81" i="12" s="1"/>
  <c r="F73" i="12"/>
  <c r="F77" i="12" s="1"/>
  <c r="F67" i="12"/>
  <c r="F68" i="12" s="1"/>
  <c r="H68" i="12" s="1"/>
  <c r="D63" i="12"/>
  <c r="F63" i="12" s="1"/>
  <c r="H63" i="12" s="1"/>
  <c r="F35" i="12"/>
  <c r="H35" i="12" s="1"/>
  <c r="G77" i="12"/>
  <c r="G76" i="12"/>
  <c r="G71" i="12"/>
  <c r="G70" i="12"/>
  <c r="F65" i="12"/>
  <c r="H65" i="12" s="1"/>
  <c r="G64" i="12"/>
  <c r="F64" i="12"/>
  <c r="G62" i="12"/>
  <c r="F62" i="12"/>
  <c r="F60" i="12"/>
  <c r="H60" i="12" s="1"/>
  <c r="G380" i="12"/>
  <c r="F380" i="12"/>
  <c r="G379" i="12"/>
  <c r="F379" i="12"/>
  <c r="F378" i="12"/>
  <c r="H378" i="12" s="1"/>
  <c r="F377" i="12"/>
  <c r="H377" i="12" s="1"/>
  <c r="H360" i="12"/>
  <c r="H355" i="12"/>
  <c r="F357" i="12"/>
  <c r="H357" i="12" s="1"/>
  <c r="F351" i="12"/>
  <c r="H351" i="12" s="1"/>
  <c r="F349" i="12"/>
  <c r="H349" i="12" s="1"/>
  <c r="F346" i="12"/>
  <c r="H346" i="12" s="1"/>
  <c r="D345" i="12"/>
  <c r="F345" i="12" s="1"/>
  <c r="H345" i="12" s="1"/>
  <c r="F343" i="12"/>
  <c r="H343" i="12" s="1"/>
  <c r="F340" i="12"/>
  <c r="H340" i="12" s="1"/>
  <c r="F339" i="12"/>
  <c r="H339" i="12" s="1"/>
  <c r="F337" i="12"/>
  <c r="H337" i="12" s="1"/>
  <c r="F333" i="12"/>
  <c r="H333" i="12" s="1"/>
  <c r="F331" i="12"/>
  <c r="H331" i="12" s="1"/>
  <c r="F328" i="12"/>
  <c r="H328" i="12" s="1"/>
  <c r="D327" i="12"/>
  <c r="F327" i="12" s="1"/>
  <c r="H327" i="12" s="1"/>
  <c r="F325" i="12"/>
  <c r="H325" i="12" s="1"/>
  <c r="F322" i="12"/>
  <c r="H322" i="12" s="1"/>
  <c r="F321" i="12"/>
  <c r="H321" i="12" s="1"/>
  <c r="F319" i="12"/>
  <c r="H319" i="12" s="1"/>
  <c r="D291" i="12"/>
  <c r="F286" i="12"/>
  <c r="H286" i="12" s="1"/>
  <c r="F285" i="12"/>
  <c r="H285" i="12" s="1"/>
  <c r="F283" i="12"/>
  <c r="H283" i="12" s="1"/>
  <c r="G248" i="12"/>
  <c r="F248" i="12"/>
  <c r="G242" i="12"/>
  <c r="G241" i="12"/>
  <c r="D235" i="12"/>
  <c r="G229" i="12"/>
  <c r="G227" i="12"/>
  <c r="F230" i="12"/>
  <c r="H230" i="12" s="1"/>
  <c r="G38" i="12"/>
  <c r="G249" i="12" s="1"/>
  <c r="G37" i="12"/>
  <c r="G32" i="12"/>
  <c r="F32" i="12"/>
  <c r="G31" i="12"/>
  <c r="F31" i="12"/>
  <c r="F29" i="12"/>
  <c r="H29" i="12" s="1"/>
  <c r="F26" i="12"/>
  <c r="H26" i="12" s="1"/>
  <c r="G25" i="12"/>
  <c r="F25" i="12"/>
  <c r="D24" i="12"/>
  <c r="F24" i="12" s="1"/>
  <c r="H24" i="12" s="1"/>
  <c r="G23" i="12"/>
  <c r="F23" i="12"/>
  <c r="F21" i="12"/>
  <c r="H21" i="12" s="1"/>
  <c r="F370" i="12" l="1"/>
  <c r="H370" i="12" s="1"/>
  <c r="F273" i="12"/>
  <c r="H273" i="12" s="1"/>
  <c r="F291" i="12"/>
  <c r="H291" i="12" s="1"/>
  <c r="F70" i="12"/>
  <c r="H70" i="12" s="1"/>
  <c r="F371" i="12"/>
  <c r="H371" i="12" s="1"/>
  <c r="H85" i="12"/>
  <c r="F271" i="12"/>
  <c r="H271" i="12" s="1"/>
  <c r="F372" i="12"/>
  <c r="H372" i="12" s="1"/>
  <c r="F309" i="12"/>
  <c r="H309" i="12" s="1"/>
  <c r="H384" i="12"/>
  <c r="F297" i="12"/>
  <c r="H297" i="12" s="1"/>
  <c r="H298" i="12" s="1"/>
  <c r="F307" i="12"/>
  <c r="H307" i="12" s="1"/>
  <c r="F292" i="12"/>
  <c r="H292" i="12" s="1"/>
  <c r="H293" i="12" s="1"/>
  <c r="H290" i="12" s="1"/>
  <c r="F71" i="12"/>
  <c r="H71" i="12" s="1"/>
  <c r="F310" i="12"/>
  <c r="H310" i="12" s="1"/>
  <c r="H257" i="12"/>
  <c r="H254" i="12" s="1"/>
  <c r="H262" i="12"/>
  <c r="H260" i="12" s="1"/>
  <c r="G260" i="12" s="1"/>
  <c r="F259" i="12"/>
  <c r="H259" i="12" s="1"/>
  <c r="H269" i="12"/>
  <c r="H266" i="12" s="1"/>
  <c r="H275" i="12"/>
  <c r="H272" i="12" s="1"/>
  <c r="G272" i="12" s="1"/>
  <c r="H280" i="12"/>
  <c r="H278" i="12" s="1"/>
  <c r="G278" i="12" s="1"/>
  <c r="F277" i="12"/>
  <c r="H277" i="12" s="1"/>
  <c r="H305" i="12"/>
  <c r="H302" i="12" s="1"/>
  <c r="H316" i="12"/>
  <c r="H314" i="12" s="1"/>
  <c r="G314" i="12" s="1"/>
  <c r="F313" i="12"/>
  <c r="H313" i="12" s="1"/>
  <c r="H23" i="12"/>
  <c r="H127" i="12"/>
  <c r="H380" i="12"/>
  <c r="F199" i="12"/>
  <c r="H199" i="12" s="1"/>
  <c r="F97" i="12"/>
  <c r="H208" i="12"/>
  <c r="H193" i="12"/>
  <c r="F37" i="12"/>
  <c r="H106" i="12"/>
  <c r="H49" i="12"/>
  <c r="H188" i="12"/>
  <c r="H189" i="12" s="1"/>
  <c r="H187" i="12" s="1"/>
  <c r="F200" i="12"/>
  <c r="H200" i="12" s="1"/>
  <c r="F194" i="12"/>
  <c r="H194" i="12" s="1"/>
  <c r="F191" i="12"/>
  <c r="H191" i="12" s="1"/>
  <c r="F249" i="12"/>
  <c r="H249" i="12" s="1"/>
  <c r="H64" i="12"/>
  <c r="F214" i="12"/>
  <c r="H214" i="12" s="1"/>
  <c r="H125" i="12"/>
  <c r="H146" i="12"/>
  <c r="H148" i="12"/>
  <c r="F38" i="12"/>
  <c r="H38" i="12" s="1"/>
  <c r="F239" i="12"/>
  <c r="H239" i="12" s="1"/>
  <c r="F140" i="12"/>
  <c r="H140" i="12" s="1"/>
  <c r="H25" i="12"/>
  <c r="F241" i="12"/>
  <c r="H241" i="12" s="1"/>
  <c r="F246" i="12"/>
  <c r="H246" i="12" s="1"/>
  <c r="H379" i="12"/>
  <c r="H169" i="12"/>
  <c r="H44" i="12"/>
  <c r="H45" i="12" s="1"/>
  <c r="H43" i="12" s="1"/>
  <c r="H287" i="12"/>
  <c r="H284" i="12" s="1"/>
  <c r="G284" i="12" s="1"/>
  <c r="H220" i="12"/>
  <c r="H139" i="12"/>
  <c r="F50" i="12"/>
  <c r="H50" i="12" s="1"/>
  <c r="F47" i="12"/>
  <c r="H47" i="12" s="1"/>
  <c r="H55" i="12"/>
  <c r="F56" i="12"/>
  <c r="H56" i="12" s="1"/>
  <c r="F53" i="12"/>
  <c r="H53" i="12" s="1"/>
  <c r="H167" i="12"/>
  <c r="F182" i="12"/>
  <c r="H182" i="12" s="1"/>
  <c r="H175" i="12"/>
  <c r="H181" i="12"/>
  <c r="F179" i="12"/>
  <c r="H179" i="12" s="1"/>
  <c r="F176" i="12"/>
  <c r="H176" i="12" s="1"/>
  <c r="F173" i="12"/>
  <c r="H173" i="12" s="1"/>
  <c r="H160" i="12"/>
  <c r="H154" i="12"/>
  <c r="F161" i="12"/>
  <c r="H161" i="12" s="1"/>
  <c r="F158" i="12"/>
  <c r="H158" i="12" s="1"/>
  <c r="F155" i="12"/>
  <c r="H155" i="12" s="1"/>
  <c r="F152" i="12"/>
  <c r="H152" i="12" s="1"/>
  <c r="H133" i="12"/>
  <c r="F137" i="12"/>
  <c r="H137" i="12" s="1"/>
  <c r="F134" i="12"/>
  <c r="H134" i="12" s="1"/>
  <c r="F131" i="12"/>
  <c r="H131" i="12" s="1"/>
  <c r="F118" i="12"/>
  <c r="H118" i="12" s="1"/>
  <c r="F119" i="12"/>
  <c r="H119" i="12" s="1"/>
  <c r="H104" i="12"/>
  <c r="H112" i="12"/>
  <c r="F113" i="12"/>
  <c r="H113" i="12" s="1"/>
  <c r="F110" i="12"/>
  <c r="H110" i="12" s="1"/>
  <c r="H206" i="12"/>
  <c r="F221" i="12"/>
  <c r="H221" i="12" s="1"/>
  <c r="F212" i="12"/>
  <c r="H212" i="12" s="1"/>
  <c r="H215" i="12"/>
  <c r="F218" i="12"/>
  <c r="H218" i="12" s="1"/>
  <c r="H97" i="12"/>
  <c r="F98" i="12"/>
  <c r="H98" i="12" s="1"/>
  <c r="H83" i="12"/>
  <c r="H91" i="12"/>
  <c r="F92" i="12"/>
  <c r="H92" i="12" s="1"/>
  <c r="F89" i="12"/>
  <c r="H89" i="12" s="1"/>
  <c r="F76" i="12"/>
  <c r="H76" i="12" s="1"/>
  <c r="F74" i="12"/>
  <c r="H74" i="12" s="1"/>
  <c r="H37" i="12"/>
  <c r="H31" i="12"/>
  <c r="H32" i="12"/>
  <c r="F228" i="12"/>
  <c r="H228" i="12" s="1"/>
  <c r="F233" i="12"/>
  <c r="H233" i="12" s="1"/>
  <c r="H248" i="12"/>
  <c r="H62" i="12"/>
  <c r="H77" i="12"/>
  <c r="H243" i="12"/>
  <c r="F229" i="12"/>
  <c r="H229" i="12" s="1"/>
  <c r="F242" i="12"/>
  <c r="H242" i="12" s="1"/>
  <c r="F368" i="12"/>
  <c r="H368" i="12" s="1"/>
  <c r="H341" i="12"/>
  <c r="H338" i="12" s="1"/>
  <c r="H352" i="12"/>
  <c r="H350" i="12" s="1"/>
  <c r="H358" i="12"/>
  <c r="H356" i="12" s="1"/>
  <c r="G354" i="12" s="1"/>
  <c r="H369" i="12"/>
  <c r="H323" i="12"/>
  <c r="H320" i="12" s="1"/>
  <c r="H329" i="12"/>
  <c r="H326" i="12" s="1"/>
  <c r="H347" i="12"/>
  <c r="H344" i="12" s="1"/>
  <c r="F225" i="12"/>
  <c r="H225" i="12" s="1"/>
  <c r="F227" i="12"/>
  <c r="H227" i="12" s="1"/>
  <c r="F235" i="12"/>
  <c r="H235" i="12" s="1"/>
  <c r="H334" i="12"/>
  <c r="H332" i="12" s="1"/>
  <c r="G332" i="12" s="1"/>
  <c r="H87" i="12" l="1"/>
  <c r="H82" i="12" s="1"/>
  <c r="H311" i="12"/>
  <c r="H308" i="12" s="1"/>
  <c r="H27" i="12"/>
  <c r="H22" i="12" s="1"/>
  <c r="G22" i="12" s="1"/>
  <c r="H66" i="12"/>
  <c r="H61" i="12" s="1"/>
  <c r="G61" i="12" s="1"/>
  <c r="H222" i="12"/>
  <c r="H219" i="12" s="1"/>
  <c r="G219" i="12" s="1"/>
  <c r="H210" i="12"/>
  <c r="H205" i="12" s="1"/>
  <c r="G205" i="12" s="1"/>
  <c r="H108" i="12"/>
  <c r="H103" i="12" s="1"/>
  <c r="G103" i="12" s="1"/>
  <c r="H296" i="12"/>
  <c r="G296" i="12" s="1"/>
  <c r="H120" i="12"/>
  <c r="H390" i="12"/>
  <c r="H381" i="12"/>
  <c r="H376" i="12" s="1"/>
  <c r="G376" i="12" s="1"/>
  <c r="G384" i="12"/>
  <c r="G382" i="12"/>
  <c r="H382" i="12" s="1"/>
  <c r="H129" i="12"/>
  <c r="H124" i="12" s="1"/>
  <c r="G124" i="12" s="1"/>
  <c r="H150" i="12"/>
  <c r="H145" i="12" s="1"/>
  <c r="G145" i="12" s="1"/>
  <c r="G254" i="12"/>
  <c r="G252" i="12"/>
  <c r="H252" i="12" s="1"/>
  <c r="G258" i="12"/>
  <c r="H258" i="12" s="1"/>
  <c r="G266" i="12"/>
  <c r="G264" i="12"/>
  <c r="H264" i="12" s="1"/>
  <c r="H51" i="12"/>
  <c r="H48" i="12" s="1"/>
  <c r="G46" i="12" s="1"/>
  <c r="H46" i="12" s="1"/>
  <c r="G276" i="12"/>
  <c r="H276" i="12" s="1"/>
  <c r="G270" i="12"/>
  <c r="H270" i="12" s="1"/>
  <c r="G308" i="12"/>
  <c r="G306" i="12"/>
  <c r="H306" i="12" s="1"/>
  <c r="G302" i="12"/>
  <c r="G300" i="12"/>
  <c r="H300" i="12" s="1"/>
  <c r="G312" i="12"/>
  <c r="H312" i="12" s="1"/>
  <c r="H39" i="12"/>
  <c r="H36" i="12" s="1"/>
  <c r="H216" i="12"/>
  <c r="H213" i="12" s="1"/>
  <c r="G213" i="12" s="1"/>
  <c r="H201" i="12"/>
  <c r="H198" i="12" s="1"/>
  <c r="G198" i="12" s="1"/>
  <c r="H72" i="12"/>
  <c r="H69" i="12" s="1"/>
  <c r="G69" i="12" s="1"/>
  <c r="H99" i="12"/>
  <c r="H96" i="12" s="1"/>
  <c r="G96" i="12" s="1"/>
  <c r="G187" i="12"/>
  <c r="G185" i="12"/>
  <c r="H185" i="12" s="1"/>
  <c r="H195" i="12"/>
  <c r="H192" i="12" s="1"/>
  <c r="H141" i="12"/>
  <c r="H138" i="12" s="1"/>
  <c r="H17" i="12"/>
  <c r="H250" i="12"/>
  <c r="H247" i="12" s="1"/>
  <c r="H33" i="12"/>
  <c r="H30" i="12" s="1"/>
  <c r="G30" i="12" s="1"/>
  <c r="H373" i="12"/>
  <c r="H367" i="12" s="1"/>
  <c r="H78" i="12"/>
  <c r="H75" i="12" s="1"/>
  <c r="G73" i="12" s="1"/>
  <c r="H73" i="12" s="1"/>
  <c r="H93" i="12"/>
  <c r="H90" i="12" s="1"/>
  <c r="G90" i="12" s="1"/>
  <c r="H135" i="12"/>
  <c r="H132" i="12" s="1"/>
  <c r="G132" i="12" s="1"/>
  <c r="H171" i="12"/>
  <c r="H166" i="12" s="1"/>
  <c r="G166" i="12" s="1"/>
  <c r="H57" i="12"/>
  <c r="H54" i="12" s="1"/>
  <c r="G43" i="12"/>
  <c r="G41" i="12"/>
  <c r="H41" i="12" s="1"/>
  <c r="H183" i="12"/>
  <c r="H180" i="12" s="1"/>
  <c r="H177" i="12"/>
  <c r="H174" i="12" s="1"/>
  <c r="H162" i="12"/>
  <c r="H159" i="12" s="1"/>
  <c r="G159" i="12" s="1"/>
  <c r="H156" i="12"/>
  <c r="H153" i="12" s="1"/>
  <c r="G143" i="12"/>
  <c r="H143" i="12" s="1"/>
  <c r="G122" i="12"/>
  <c r="H122" i="12" s="1"/>
  <c r="H114" i="12"/>
  <c r="H111" i="12" s="1"/>
  <c r="G111" i="12" s="1"/>
  <c r="H117" i="12"/>
  <c r="G211" i="12"/>
  <c r="H211" i="12" s="1"/>
  <c r="G203" i="12"/>
  <c r="H203" i="12" s="1"/>
  <c r="G217" i="12"/>
  <c r="H217" i="12" s="1"/>
  <c r="G94" i="12"/>
  <c r="H94" i="12" s="1"/>
  <c r="G82" i="12"/>
  <c r="G80" i="12"/>
  <c r="H80" i="12" s="1"/>
  <c r="H244" i="12"/>
  <c r="H240" i="12" s="1"/>
  <c r="G240" i="12" s="1"/>
  <c r="G282" i="12"/>
  <c r="H282" i="12" s="1"/>
  <c r="G344" i="12"/>
  <c r="G342" i="12"/>
  <c r="H342" i="12" s="1"/>
  <c r="G326" i="12"/>
  <c r="G324" i="12"/>
  <c r="H324" i="12" s="1"/>
  <c r="G350" i="12"/>
  <c r="G348" i="12"/>
  <c r="H348" i="12" s="1"/>
  <c r="G356" i="12"/>
  <c r="H354" i="12"/>
  <c r="G320" i="12"/>
  <c r="G318" i="12"/>
  <c r="H318" i="12" s="1"/>
  <c r="G338" i="12"/>
  <c r="G336" i="12"/>
  <c r="H336" i="12" s="1"/>
  <c r="G288" i="12"/>
  <c r="H288" i="12" s="1"/>
  <c r="G290" i="12"/>
  <c r="H237" i="12"/>
  <c r="H234" i="12" s="1"/>
  <c r="F363" i="12"/>
  <c r="H363" i="12" s="1"/>
  <c r="F362" i="12"/>
  <c r="H362" i="12" s="1"/>
  <c r="H231" i="12"/>
  <c r="H226" i="12" s="1"/>
  <c r="G226" i="12" s="1"/>
  <c r="G330" i="12"/>
  <c r="H330" i="12" s="1"/>
  <c r="G20" i="12"/>
  <c r="H20" i="12" s="1"/>
  <c r="G75" i="12" l="1"/>
  <c r="G59" i="12"/>
  <c r="H59" i="12" s="1"/>
  <c r="G294" i="12"/>
  <c r="H294" i="12" s="1"/>
  <c r="H281" i="12" s="1"/>
  <c r="G374" i="12"/>
  <c r="H374" i="12" s="1"/>
  <c r="G101" i="12"/>
  <c r="H101" i="12" s="1"/>
  <c r="H251" i="12"/>
  <c r="G238" i="12"/>
  <c r="H238" i="12" s="1"/>
  <c r="G130" i="12"/>
  <c r="H130" i="12" s="1"/>
  <c r="G36" i="12"/>
  <c r="G34" i="12"/>
  <c r="H34" i="12" s="1"/>
  <c r="H299" i="12"/>
  <c r="G48" i="12"/>
  <c r="H263" i="12"/>
  <c r="G67" i="12"/>
  <c r="H67" i="12" s="1"/>
  <c r="H58" i="12" s="1"/>
  <c r="G28" i="12"/>
  <c r="H28" i="12" s="1"/>
  <c r="G196" i="12"/>
  <c r="H196" i="12" s="1"/>
  <c r="H335" i="12"/>
  <c r="G192" i="12"/>
  <c r="G190" i="12"/>
  <c r="H190" i="12" s="1"/>
  <c r="G367" i="12"/>
  <c r="G365" i="12"/>
  <c r="H365" i="12" s="1"/>
  <c r="G138" i="12"/>
  <c r="G136" i="12"/>
  <c r="H136" i="12" s="1"/>
  <c r="H202" i="12"/>
  <c r="G109" i="12"/>
  <c r="H109" i="12" s="1"/>
  <c r="G88" i="12"/>
  <c r="H88" i="12" s="1"/>
  <c r="H79" i="12" s="1"/>
  <c r="G164" i="12"/>
  <c r="H164" i="12" s="1"/>
  <c r="G54" i="12"/>
  <c r="G52" i="12"/>
  <c r="H52" i="12" s="1"/>
  <c r="H40" i="12" s="1"/>
  <c r="G180" i="12"/>
  <c r="G178" i="12"/>
  <c r="H178" i="12" s="1"/>
  <c r="G174" i="12"/>
  <c r="G172" i="12"/>
  <c r="H172" i="12" s="1"/>
  <c r="G157" i="12"/>
  <c r="H157" i="12" s="1"/>
  <c r="G153" i="12"/>
  <c r="G151" i="12"/>
  <c r="H151" i="12" s="1"/>
  <c r="G117" i="12"/>
  <c r="G115" i="12"/>
  <c r="H115" i="12" s="1"/>
  <c r="G247" i="12"/>
  <c r="G245" i="12"/>
  <c r="H245" i="12" s="1"/>
  <c r="G234" i="12"/>
  <c r="G232" i="12"/>
  <c r="H232" i="12" s="1"/>
  <c r="G224" i="12"/>
  <c r="H224" i="12" s="1"/>
  <c r="H364" i="12"/>
  <c r="H361" i="12" s="1"/>
  <c r="H391" i="12" s="1"/>
  <c r="H317" i="12"/>
  <c r="H121" i="12" l="1"/>
  <c r="H19" i="12"/>
  <c r="H223" i="12"/>
  <c r="H184" i="12"/>
  <c r="H142" i="12"/>
  <c r="H100" i="12"/>
  <c r="H163" i="12"/>
  <c r="G361" i="12"/>
  <c r="G359" i="12"/>
  <c r="H359" i="12" s="1"/>
  <c r="H353" i="12" s="1"/>
  <c r="H18" i="12"/>
  <c r="H16" i="12" s="1"/>
  <c r="H6" i="12" s="1"/>
  <c r="H388" i="12" l="1"/>
  <c r="H389" i="12" s="1"/>
</calcChain>
</file>

<file path=xl/sharedStrings.xml><?xml version="1.0" encoding="utf-8"?>
<sst xmlns="http://schemas.openxmlformats.org/spreadsheetml/2006/main" count="756" uniqueCount="134">
  <si>
    <t>Объект:</t>
  </si>
  <si>
    <t>Итоговая стоимость:</t>
  </si>
  <si>
    <t>руб</t>
  </si>
  <si>
    <t>Аванс :</t>
  </si>
  <si>
    <t>Планируемое начало работ:</t>
  </si>
  <si>
    <t>Планируемое окончание работ:</t>
  </si>
  <si>
    <t>Подрядчик:</t>
  </si>
  <si>
    <t>Вид  калькуляции:</t>
  </si>
  <si>
    <t>основная</t>
  </si>
  <si>
    <t>Основание:</t>
  </si>
  <si>
    <t>Стоимость на 1 м2 продаваемой площади:</t>
  </si>
  <si>
    <t>№ п.п.</t>
  </si>
  <si>
    <t>Наименование работ</t>
  </si>
  <si>
    <t>Расход</t>
  </si>
  <si>
    <t>Объем</t>
  </si>
  <si>
    <t>Стоимость за единицу</t>
  </si>
  <si>
    <t>Итого, руб.</t>
  </si>
  <si>
    <t>работы</t>
  </si>
  <si>
    <t>материалы</t>
  </si>
  <si>
    <t>1.1</t>
  </si>
  <si>
    <t>м2</t>
  </si>
  <si>
    <t>работа</t>
  </si>
  <si>
    <t>материалы, в т.ч.:</t>
  </si>
  <si>
    <t>Грунтовка глубокого проникновения Grund-Konzentrat</t>
  </si>
  <si>
    <t>л</t>
  </si>
  <si>
    <t>м3</t>
  </si>
  <si>
    <t>Клеящая смесь Capatect Kleber 85R</t>
  </si>
  <si>
    <t>кг</t>
  </si>
  <si>
    <t>Дюбель с термоголовкой HOLDEX TA10-260мм</t>
  </si>
  <si>
    <t>шт</t>
  </si>
  <si>
    <t>1.2</t>
  </si>
  <si>
    <t>Устройство армирующего слоя (стены и откосы)</t>
  </si>
  <si>
    <t>Армирующая смесь Капарол 86R</t>
  </si>
  <si>
    <t>Армирующая щелочестойкая сетка из стекловолокна Крепикс 2000</t>
  </si>
  <si>
    <t>п.м</t>
  </si>
  <si>
    <t xml:space="preserve">Герметик силиконовый Tytan Универсальный Бесцветный 310мл </t>
  </si>
  <si>
    <t>1.3</t>
  </si>
  <si>
    <t>Декорирование (стены и откосы), (декоративная штукатурка окрашена в рал)</t>
  </si>
  <si>
    <t>Грунтовка под декоративную штукатурку Putzgrund 610</t>
  </si>
  <si>
    <t>2</t>
  </si>
  <si>
    <t>Устройство НВФ с облицовкой кассеты алюминиевые (стены и откосы балкона)</t>
  </si>
  <si>
    <t>2.1</t>
  </si>
  <si>
    <t>Монтаж подконструкции (стены и откосы)</t>
  </si>
  <si>
    <t>Подконструкция NordFox</t>
  </si>
  <si>
    <t>Анкер 10х120 мм</t>
  </si>
  <si>
    <t>2.2</t>
  </si>
  <si>
    <t>Монтаж теплоизоляционной плиты (стены)</t>
  </si>
  <si>
    <t>2.3</t>
  </si>
  <si>
    <t>Монтаж кассет алюминиевых Sevalcon (стены и откосы)</t>
  </si>
  <si>
    <t>Алюминиевые кассеты Sevalcon</t>
  </si>
  <si>
    <t>3</t>
  </si>
  <si>
    <t>Устройство НВФ облицовка HPL панелями (стены 1эт)</t>
  </si>
  <si>
    <t>3.1</t>
  </si>
  <si>
    <t>Подконструкция (скрытое крепление)</t>
  </si>
  <si>
    <t>3.2</t>
  </si>
  <si>
    <t>3.3</t>
  </si>
  <si>
    <t>Монтаж HPL панелей (стены и откосы)</t>
  </si>
  <si>
    <t>НPL панели (RAL 809, 694)</t>
  </si>
  <si>
    <t>4</t>
  </si>
  <si>
    <t>4.1</t>
  </si>
  <si>
    <t>4.2</t>
  </si>
  <si>
    <t>4.3</t>
  </si>
  <si>
    <t>5</t>
  </si>
  <si>
    <t>Утепленные потолки НВФ (облицовка алюминиевыми кассетами) потолок балкона</t>
  </si>
  <si>
    <t>5.1</t>
  </si>
  <si>
    <t>Монтаж подконструкции (потолок)</t>
  </si>
  <si>
    <t>5.2</t>
  </si>
  <si>
    <t>Монтаж теплоизоляционной плиты (потолок)</t>
  </si>
  <si>
    <t>Дюбель с термоголовкой HOLDEX TA10-300мм</t>
  </si>
  <si>
    <t>5.3</t>
  </si>
  <si>
    <t>Монтаж кассет (потолок)</t>
  </si>
  <si>
    <t>6</t>
  </si>
  <si>
    <t>Разные работы</t>
  </si>
  <si>
    <t>6.1</t>
  </si>
  <si>
    <t xml:space="preserve">Устройств примыканий м/у системами и нащельник НВФ </t>
  </si>
  <si>
    <t>пог.м</t>
  </si>
  <si>
    <t>Фасонный элемент (оцинковка окрашена в цвет, лист 0,5мм)</t>
  </si>
  <si>
    <t>6.2</t>
  </si>
  <si>
    <t>Монтаж оконных откосов НВФ</t>
  </si>
  <si>
    <t>Отлив (оцинковка окрашена в цвет, лист толщ.0,5мм)</t>
  </si>
  <si>
    <t>6.3</t>
  </si>
  <si>
    <t>Монтаж оконных отливов по штукатурному фасаду</t>
  </si>
  <si>
    <t>Монтажная пена профессиональная</t>
  </si>
  <si>
    <t>Торцевая заглушка</t>
  </si>
  <si>
    <t>Саморез 22 мм</t>
  </si>
  <si>
    <t>6.4</t>
  </si>
  <si>
    <t>Комплекс работ по монтажу воздушных клапанов СВК В-75М</t>
  </si>
  <si>
    <t>Клапан воздушный СВК В-75М</t>
  </si>
  <si>
    <t>шт.</t>
  </si>
  <si>
    <t>Покраска решеток</t>
  </si>
  <si>
    <t>Пена монтажная</t>
  </si>
  <si>
    <t>Стиз А</t>
  </si>
  <si>
    <t>ИТОГО в т.ч. НДС 20%:</t>
  </si>
  <si>
    <t xml:space="preserve"> в т.ч. НДС 20%:</t>
  </si>
  <si>
    <t>Стоимость работ:</t>
  </si>
  <si>
    <t>Стоимость материалов:</t>
  </si>
  <si>
    <t>Монтаж теплоизоляционной плиты (1 слой)</t>
  </si>
  <si>
    <t>Монтаж теплоизоляционной плиты (2 слой)</t>
  </si>
  <si>
    <t>Утепленные потолки, 1эт входная группа над ВН5 и ВН3</t>
  </si>
  <si>
    <t>Устройство армирующего слоя (1 слой)</t>
  </si>
  <si>
    <t>Декорирование, (декоративная штукатурка окрашена в рал)</t>
  </si>
  <si>
    <t>Декоративная штукатурка Капарол К20 (структурная, зернистая) 9002</t>
  </si>
  <si>
    <r>
      <t>Плита минераловатная Эковер Вент фасад толщ.</t>
    </r>
    <r>
      <rPr>
        <b/>
        <i/>
        <sz val="10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>200 мм</t>
    </r>
  </si>
  <si>
    <t>"Северный квартал" 1 очередь</t>
  </si>
  <si>
    <r>
      <t>Плита минераловатная Эковер Вент фасад толщ.</t>
    </r>
    <r>
      <rPr>
        <sz val="10"/>
        <rFont val="Verdana"/>
        <family val="2"/>
        <charset val="204"/>
      </rPr>
      <t xml:space="preserve"> 150 мм</t>
    </r>
  </si>
  <si>
    <r>
      <t>Плита минераловатная Эковер Вент-фасад толщ.</t>
    </r>
    <r>
      <rPr>
        <sz val="10"/>
        <rFont val="Verdana"/>
        <family val="2"/>
        <charset val="204"/>
      </rPr>
      <t>150 мм</t>
    </r>
  </si>
  <si>
    <t>Плита минераловатная Эковер "Экофасад" 150 мм (стены)</t>
  </si>
  <si>
    <t>Транспортные расходы</t>
  </si>
  <si>
    <t>3%</t>
  </si>
  <si>
    <t>2.4</t>
  </si>
  <si>
    <t>Монтаж теплоизоляционной плиты с отм. +4,220 до отм.+9,430 (2-3этажи)</t>
  </si>
  <si>
    <r>
      <t xml:space="preserve">Плита минераловатная Эковер "Экофасад" </t>
    </r>
    <r>
      <rPr>
        <sz val="10"/>
        <rFont val="Verdana"/>
        <family val="2"/>
        <charset val="204"/>
      </rPr>
      <t>50 мм</t>
    </r>
  </si>
  <si>
    <t>Устройство штукатурного фасада с утеплением. Система Капарол. БЕЛЫЙ.</t>
  </si>
  <si>
    <t>Устройство штукатурного фасада с утеплением. Система Капарол. СВЕТЛО-СЕРЫЙ.</t>
  </si>
  <si>
    <t xml:space="preserve">Монтаж теплоизоляционной плиты </t>
  </si>
  <si>
    <t>Плита минераловатная Эковер "Экофасад" 130 мм (стены)</t>
  </si>
  <si>
    <t>Устройство штукатурного фасада с утеплением. Система Капарол. ТЕМНО-СЕРЫЙ.</t>
  </si>
  <si>
    <t>Устройство штукатурного фасада с утеплением. Система Капарол.  СЕРЫЙ.</t>
  </si>
  <si>
    <t>Устройство штукатурных вставок. Система Капарол. ТЕМНО-СЕРЫЙ.</t>
  </si>
  <si>
    <t>Устройство отделок кровли. Система Капарол. ТЕМНО-СЕРЫЙ.</t>
  </si>
  <si>
    <t>Плита минераловатная Эковер "Экофасад" 100 мм (стены)</t>
  </si>
  <si>
    <t>Устройство парапетов по аквапанелям. Система Капарол. БЕЛЫЙ.</t>
  </si>
  <si>
    <t>Устройство парапетов по аквапанелям. Система Капарол. ТЕМНО-СЕРЫЙ</t>
  </si>
  <si>
    <r>
      <t xml:space="preserve">Плита минераловатная Эковер "Экофасад" </t>
    </r>
    <r>
      <rPr>
        <sz val="10"/>
        <rFont val="Verdana"/>
        <family val="2"/>
        <charset val="204"/>
      </rPr>
      <t xml:space="preserve">250 мм </t>
    </r>
  </si>
  <si>
    <r>
      <t>Плита минераловатная Эковер Вент фасад толщ.</t>
    </r>
    <r>
      <rPr>
        <sz val="10"/>
        <rFont val="Verdana"/>
        <family val="2"/>
        <charset val="204"/>
      </rPr>
      <t xml:space="preserve"> 200 мм</t>
    </r>
  </si>
  <si>
    <r>
      <t>Плита минераловатная Эковер Вент фасад толщ.</t>
    </r>
    <r>
      <rPr>
        <sz val="10"/>
        <rFont val="Verdana"/>
        <family val="2"/>
        <charset val="204"/>
      </rPr>
      <t xml:space="preserve"> 130 мм</t>
    </r>
  </si>
  <si>
    <t>Устройство дев шва</t>
  </si>
  <si>
    <t>Плита минераловатная/вилотерм</t>
  </si>
  <si>
    <t>Профиль деформационный</t>
  </si>
  <si>
    <t>6.5</t>
  </si>
  <si>
    <t>Фасадные работы. Фасад (секция 1-6) 17-18-00</t>
  </si>
  <si>
    <t xml:space="preserve">Калькуляция № </t>
  </si>
  <si>
    <t>17-18-01/02/03/04/05/06-АР7</t>
  </si>
  <si>
    <t>Един. измер.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</si>
</sst>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#,##0.00_ ;\-#,##0.00\ "/>
    <numFmt numFmtId="166" formatCode="_-* #,##0.00_р_._-;\-* #,##0.00_р_._-;_-* &quot;-&quot;??_р_._-;_-@_-"/>
    <numFmt numFmtId="167" formatCode="_(* #,##0.000_);_(* \(#,##0.000\);_(* &quot;-&quot;??_);_(@_)"/>
    <numFmt numFmtId="168" formatCode="_(* #,##0_);_(* \(#,##0\);_(* &quot;-&quot;??_);_(@_)"/>
    <numFmt numFmtId="169" formatCode="_-* #,##0.00&quot;р.&quot;_-;\-* #,##0.00&quot;р.&quot;_-;_-* &quot;-&quot;??&quot;р.&quot;_-;_-@_-"/>
    <numFmt numFmtId="170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9"/>
      <name val="Arial Cyr"/>
      <charset val="204"/>
    </font>
    <font>
      <b/>
      <sz val="10"/>
      <color indexed="9"/>
      <name val="Verdana"/>
      <family val="2"/>
      <charset val="204"/>
    </font>
    <font>
      <sz val="11"/>
      <color indexed="8"/>
      <name val="Calibri"/>
      <family val="2"/>
    </font>
    <font>
      <sz val="10"/>
      <color indexed="9"/>
      <name val="Verdana"/>
      <family val="2"/>
      <charset val="204"/>
    </font>
    <font>
      <b/>
      <i/>
      <sz val="10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ACA3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7465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3B24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</borders>
  <cellStyleXfs count="12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166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49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5" fillId="0" borderId="0" xfId="1" applyFont="1" applyAlignment="1">
      <alignment horizontal="right" vertical="center"/>
    </xf>
    <xf numFmtId="4" fontId="5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right" vertical="center"/>
    </xf>
    <xf numFmtId="4" fontId="4" fillId="0" borderId="0" xfId="0" applyNumberFormat="1" applyFont="1"/>
    <xf numFmtId="4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4" fontId="4" fillId="0" borderId="0" xfId="1" applyNumberFormat="1" applyFont="1" applyAlignment="1">
      <alignment horizontal="right" vertical="center"/>
    </xf>
    <xf numFmtId="49" fontId="8" fillId="2" borderId="3" xfId="3" applyNumberFormat="1" applyFont="1" applyFill="1" applyBorder="1" applyAlignment="1">
      <alignment horizontal="center" vertical="center" wrapText="1"/>
    </xf>
    <xf numFmtId="167" fontId="8" fillId="2" borderId="3" xfId="3" applyNumberFormat="1" applyFont="1" applyFill="1" applyBorder="1" applyAlignment="1">
      <alignment horizontal="center" vertical="center" wrapText="1"/>
    </xf>
    <xf numFmtId="4" fontId="8" fillId="2" borderId="3" xfId="3" applyNumberFormat="1" applyFont="1" applyFill="1" applyBorder="1" applyAlignment="1">
      <alignment horizontal="center" vertical="center" wrapText="1"/>
    </xf>
    <xf numFmtId="4" fontId="8" fillId="2" borderId="4" xfId="3" applyNumberFormat="1" applyFont="1" applyFill="1" applyBorder="1" applyAlignment="1">
      <alignment horizontal="center" vertical="center" wrapText="1"/>
    </xf>
    <xf numFmtId="49" fontId="8" fillId="2" borderId="4" xfId="3" applyNumberFormat="1" applyFont="1" applyFill="1" applyBorder="1" applyAlignment="1">
      <alignment horizontal="center" vertical="center"/>
    </xf>
    <xf numFmtId="0" fontId="8" fillId="2" borderId="6" xfId="3" applyFont="1" applyFill="1" applyBorder="1" applyAlignment="1">
      <alignment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vertical="center"/>
    </xf>
    <xf numFmtId="4" fontId="8" fillId="2" borderId="4" xfId="4" applyNumberFormat="1" applyFont="1" applyFill="1" applyBorder="1" applyAlignment="1">
      <alignment horizontal="center" vertical="center"/>
    </xf>
    <xf numFmtId="166" fontId="8" fillId="2" borderId="4" xfId="4" applyFont="1" applyFill="1" applyBorder="1" applyAlignment="1">
      <alignment horizontal="center" vertical="center"/>
    </xf>
    <xf numFmtId="49" fontId="7" fillId="4" borderId="3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left" vertical="center" wrapText="1"/>
    </xf>
    <xf numFmtId="167" fontId="6" fillId="4" borderId="3" xfId="4" applyNumberFormat="1" applyFont="1" applyFill="1" applyBorder="1" applyAlignment="1">
      <alignment horizontal="center" vertical="center"/>
    </xf>
    <xf numFmtId="166" fontId="6" fillId="4" borderId="3" xfId="4" applyFont="1" applyFill="1" applyBorder="1" applyAlignment="1">
      <alignment horizontal="center" vertical="center"/>
    </xf>
    <xf numFmtId="4" fontId="6" fillId="4" borderId="3" xfId="4" applyNumberFormat="1" applyFont="1" applyFill="1" applyBorder="1" applyAlignment="1">
      <alignment horizontal="center" vertical="center"/>
    </xf>
    <xf numFmtId="166" fontId="4" fillId="4" borderId="4" xfId="4" applyFont="1" applyFill="1" applyBorder="1" applyAlignment="1">
      <alignment horizontal="center" vertical="center"/>
    </xf>
    <xf numFmtId="49" fontId="7" fillId="4" borderId="4" xfId="3" applyNumberFormat="1" applyFont="1" applyFill="1" applyBorder="1" applyAlignment="1">
      <alignment horizontal="center" vertical="center"/>
    </xf>
    <xf numFmtId="167" fontId="6" fillId="4" borderId="6" xfId="4" applyNumberFormat="1" applyFont="1" applyFill="1" applyBorder="1" applyAlignment="1">
      <alignment horizontal="center" vertical="center"/>
    </xf>
    <xf numFmtId="166" fontId="6" fillId="4" borderId="6" xfId="4" applyFont="1" applyFill="1" applyBorder="1" applyAlignment="1">
      <alignment horizontal="center" vertical="center"/>
    </xf>
    <xf numFmtId="4" fontId="6" fillId="4" borderId="4" xfId="4" applyNumberFormat="1" applyFont="1" applyFill="1" applyBorder="1" applyAlignment="1">
      <alignment horizontal="center" vertical="center"/>
    </xf>
    <xf numFmtId="166" fontId="6" fillId="4" borderId="4" xfId="4" applyFont="1" applyFill="1" applyBorder="1" applyAlignment="1">
      <alignment horizontal="center" vertical="center"/>
    </xf>
    <xf numFmtId="49" fontId="8" fillId="5" borderId="4" xfId="3" applyNumberFormat="1" applyFont="1" applyFill="1" applyBorder="1" applyAlignment="1">
      <alignment horizontal="center" vertical="center"/>
    </xf>
    <xf numFmtId="0" fontId="8" fillId="5" borderId="6" xfId="3" applyFont="1" applyFill="1" applyBorder="1" applyAlignment="1">
      <alignment vertical="center"/>
    </xf>
    <xf numFmtId="0" fontId="5" fillId="5" borderId="6" xfId="3" applyFont="1" applyFill="1" applyBorder="1" applyAlignment="1">
      <alignment horizontal="center" vertical="center"/>
    </xf>
    <xf numFmtId="0" fontId="5" fillId="5" borderId="6" xfId="3" applyFont="1" applyFill="1" applyBorder="1" applyAlignment="1">
      <alignment vertical="center"/>
    </xf>
    <xf numFmtId="4" fontId="8" fillId="5" borderId="4" xfId="4" applyNumberFormat="1" applyFont="1" applyFill="1" applyBorder="1" applyAlignment="1">
      <alignment horizontal="center" vertical="center"/>
    </xf>
    <xf numFmtId="166" fontId="8" fillId="5" borderId="4" xfId="4" applyFont="1" applyFill="1" applyBorder="1" applyAlignment="1">
      <alignment horizontal="center" vertical="center"/>
    </xf>
    <xf numFmtId="49" fontId="7" fillId="6" borderId="3" xfId="3" applyNumberFormat="1" applyFont="1" applyFill="1" applyBorder="1" applyAlignment="1">
      <alignment horizontal="center" vertical="center"/>
    </xf>
    <xf numFmtId="49" fontId="5" fillId="6" borderId="4" xfId="5" applyNumberFormat="1" applyFont="1" applyFill="1" applyBorder="1" applyAlignment="1">
      <alignment vertical="center"/>
    </xf>
    <xf numFmtId="49" fontId="5" fillId="6" borderId="5" xfId="5" applyNumberFormat="1" applyFont="1" applyFill="1" applyBorder="1" applyAlignment="1">
      <alignment vertical="center"/>
    </xf>
    <xf numFmtId="168" fontId="5" fillId="6" borderId="3" xfId="4" applyNumberFormat="1" applyFont="1" applyFill="1" applyBorder="1" applyAlignment="1">
      <alignment horizontal="center" vertical="center"/>
    </xf>
    <xf numFmtId="166" fontId="5" fillId="6" borderId="3" xfId="4" applyFont="1" applyFill="1" applyBorder="1" applyAlignment="1">
      <alignment horizontal="center" vertical="center"/>
    </xf>
    <xf numFmtId="4" fontId="5" fillId="6" borderId="3" xfId="4" applyNumberFormat="1" applyFont="1" applyFill="1" applyBorder="1" applyAlignment="1">
      <alignment horizontal="center" vertical="center"/>
    </xf>
    <xf numFmtId="2" fontId="4" fillId="4" borderId="4" xfId="3" applyNumberFormat="1" applyFont="1" applyFill="1" applyBorder="1" applyAlignment="1">
      <alignment horizontal="left" vertical="center"/>
    </xf>
    <xf numFmtId="2" fontId="4" fillId="4" borderId="4" xfId="3" applyNumberFormat="1" applyFont="1" applyFill="1" applyBorder="1" applyAlignment="1">
      <alignment horizontal="left" vertical="center" wrapText="1"/>
    </xf>
    <xf numFmtId="166" fontId="6" fillId="4" borderId="3" xfId="4" applyFont="1" applyFill="1" applyBorder="1" applyAlignment="1">
      <alignment horizontal="left" vertical="center"/>
    </xf>
    <xf numFmtId="2" fontId="4" fillId="4" borderId="4" xfId="3" applyNumberFormat="1" applyFont="1" applyFill="1" applyBorder="1" applyAlignment="1">
      <alignment vertical="center" wrapText="1"/>
    </xf>
    <xf numFmtId="4" fontId="6" fillId="4" borderId="6" xfId="4" applyNumberFormat="1" applyFont="1" applyFill="1" applyBorder="1" applyAlignment="1">
      <alignment horizontal="center" vertical="center"/>
    </xf>
    <xf numFmtId="166" fontId="6" fillId="4" borderId="5" xfId="4" applyFont="1" applyFill="1" applyBorder="1" applyAlignment="1">
      <alignment horizontal="center" vertical="center"/>
    </xf>
    <xf numFmtId="2" fontId="6" fillId="4" borderId="4" xfId="3" applyNumberFormat="1" applyFont="1" applyFill="1" applyBorder="1" applyAlignment="1">
      <alignment vertical="center" wrapText="1"/>
    </xf>
    <xf numFmtId="49" fontId="7" fillId="6" borderId="7" xfId="3" applyNumberFormat="1" applyFont="1" applyFill="1" applyBorder="1" applyAlignment="1">
      <alignment horizontal="center" vertical="center"/>
    </xf>
    <xf numFmtId="168" fontId="5" fillId="6" borderId="7" xfId="4" applyNumberFormat="1" applyFont="1" applyFill="1" applyBorder="1" applyAlignment="1">
      <alignment horizontal="center" vertical="center"/>
    </xf>
    <xf numFmtId="166" fontId="5" fillId="6" borderId="7" xfId="4" applyFont="1" applyFill="1" applyBorder="1" applyAlignment="1">
      <alignment horizontal="center" vertical="center"/>
    </xf>
    <xf numFmtId="4" fontId="5" fillId="6" borderId="7" xfId="4" applyNumberFormat="1" applyFont="1" applyFill="1" applyBorder="1" applyAlignment="1">
      <alignment horizontal="center" vertical="center"/>
    </xf>
    <xf numFmtId="166" fontId="7" fillId="6" borderId="8" xfId="4" applyFont="1" applyFill="1" applyBorder="1" applyAlignment="1">
      <alignment horizontal="center" vertical="center"/>
    </xf>
    <xf numFmtId="49" fontId="10" fillId="7" borderId="3" xfId="3" applyNumberFormat="1" applyFont="1" applyFill="1" applyBorder="1" applyAlignment="1">
      <alignment horizontal="center" vertical="center"/>
    </xf>
    <xf numFmtId="2" fontId="10" fillId="7" borderId="4" xfId="3" applyNumberFormat="1" applyFont="1" applyFill="1" applyBorder="1" applyAlignment="1">
      <alignment horizontal="left" vertical="center"/>
    </xf>
    <xf numFmtId="2" fontId="5" fillId="7" borderId="6" xfId="3" applyNumberFormat="1" applyFont="1" applyFill="1" applyBorder="1" applyAlignment="1">
      <alignment vertical="center"/>
    </xf>
    <xf numFmtId="4" fontId="5" fillId="7" borderId="6" xfId="3" applyNumberFormat="1" applyFont="1" applyFill="1" applyBorder="1" applyAlignment="1">
      <alignment vertical="center"/>
    </xf>
    <xf numFmtId="2" fontId="5" fillId="7" borderId="5" xfId="3" applyNumberFormat="1" applyFont="1" applyFill="1" applyBorder="1" applyAlignment="1">
      <alignment vertical="center"/>
    </xf>
    <xf numFmtId="4" fontId="10" fillId="7" borderId="4" xfId="7" applyNumberFormat="1" applyFont="1" applyFill="1" applyBorder="1" applyAlignment="1">
      <alignment horizontal="right" vertical="center"/>
    </xf>
    <xf numFmtId="2" fontId="12" fillId="7" borderId="4" xfId="3" applyNumberFormat="1" applyFont="1" applyFill="1" applyBorder="1" applyAlignment="1">
      <alignment horizontal="left" vertical="center"/>
    </xf>
    <xf numFmtId="2" fontId="6" fillId="7" borderId="6" xfId="3" applyNumberFormat="1" applyFont="1" applyFill="1" applyBorder="1" applyAlignment="1">
      <alignment vertical="center"/>
    </xf>
    <xf numFmtId="4" fontId="6" fillId="7" borderId="6" xfId="3" applyNumberFormat="1" applyFont="1" applyFill="1" applyBorder="1" applyAlignment="1">
      <alignment vertical="center"/>
    </xf>
    <xf numFmtId="2" fontId="6" fillId="7" borderId="5" xfId="3" applyNumberFormat="1" applyFont="1" applyFill="1" applyBorder="1" applyAlignment="1">
      <alignment vertical="center"/>
    </xf>
    <xf numFmtId="4" fontId="12" fillId="7" borderId="4" xfId="7" applyNumberFormat="1" applyFont="1" applyFill="1" applyBorder="1" applyAlignment="1">
      <alignment horizontal="right" vertical="center"/>
    </xf>
    <xf numFmtId="49" fontId="10" fillId="7" borderId="7" xfId="3" applyNumberFormat="1" applyFont="1" applyFill="1" applyBorder="1" applyAlignment="1">
      <alignment horizontal="center" vertical="center"/>
    </xf>
    <xf numFmtId="2" fontId="12" fillId="7" borderId="8" xfId="3" applyNumberFormat="1" applyFont="1" applyFill="1" applyBorder="1" applyAlignment="1">
      <alignment horizontal="left" vertical="center"/>
    </xf>
    <xf numFmtId="2" fontId="6" fillId="7" borderId="10" xfId="3" applyNumberFormat="1" applyFont="1" applyFill="1" applyBorder="1" applyAlignment="1">
      <alignment vertical="center"/>
    </xf>
    <xf numFmtId="4" fontId="6" fillId="7" borderId="10" xfId="3" applyNumberFormat="1" applyFont="1" applyFill="1" applyBorder="1" applyAlignment="1">
      <alignment vertical="center"/>
    </xf>
    <xf numFmtId="4" fontId="12" fillId="7" borderId="8" xfId="7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166" fontId="6" fillId="0" borderId="0" xfId="2" applyNumberFormat="1" applyFont="1" applyFill="1" applyAlignment="1">
      <alignment horizontal="left" vertical="center"/>
    </xf>
    <xf numFmtId="49" fontId="6" fillId="4" borderId="6" xfId="4" applyNumberFormat="1" applyFont="1" applyFill="1" applyBorder="1" applyAlignment="1">
      <alignment horizontal="center" vertical="center"/>
    </xf>
    <xf numFmtId="166" fontId="6" fillId="3" borderId="3" xfId="4" applyFont="1" applyFill="1" applyBorder="1" applyAlignment="1">
      <alignment horizontal="center" vertical="center"/>
    </xf>
    <xf numFmtId="170" fontId="6" fillId="4" borderId="6" xfId="4" applyNumberFormat="1" applyFont="1" applyFill="1" applyBorder="1" applyAlignment="1">
      <alignment horizontal="center" vertical="center"/>
    </xf>
    <xf numFmtId="49" fontId="7" fillId="6" borderId="8" xfId="3" applyNumberFormat="1" applyFont="1" applyFill="1" applyBorder="1" applyAlignment="1">
      <alignment horizontal="left" vertical="center"/>
    </xf>
    <xf numFmtId="49" fontId="7" fillId="6" borderId="9" xfId="3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10" fontId="6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vertical="center"/>
    </xf>
    <xf numFmtId="166" fontId="6" fillId="0" borderId="0" xfId="2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</cellXfs>
  <cellStyles count="12">
    <cellStyle name="Денежный 2 4" xfId="7" xr:uid="{00000000-0005-0000-0000-000000000000}"/>
    <cellStyle name="Обычный" xfId="0" builtinId="0"/>
    <cellStyle name="Обычный 2" xfId="1" xr:uid="{00000000-0005-0000-0000-000002000000}"/>
    <cellStyle name="Обычный 2 2" xfId="10" xr:uid="{4E04E0A8-DF88-4175-AE84-DE2CAF60988A}"/>
    <cellStyle name="Обычный 2 2 2" xfId="3" xr:uid="{00000000-0005-0000-0000-000003000000}"/>
    <cellStyle name="Обычный 3" xfId="5" xr:uid="{00000000-0005-0000-0000-000004000000}"/>
    <cellStyle name="Обычный 4" xfId="8" xr:uid="{00000000-0005-0000-0000-000005000000}"/>
    <cellStyle name="Обычный 5" xfId="9" xr:uid="{3D880EEF-EDD2-446B-8B0A-851274DF1372}"/>
    <cellStyle name="Финансовый 2" xfId="2" xr:uid="{00000000-0005-0000-0000-000006000000}"/>
    <cellStyle name="Финансовый 3" xfId="6" xr:uid="{00000000-0005-0000-0000-000007000000}"/>
    <cellStyle name="Финансовый 4" xfId="11" xr:uid="{C22ADAF0-F53E-4087-ADA0-BF3D5DF99815}"/>
    <cellStyle name="Финансовый 5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08CD-D0B1-4C62-96B9-F988389A55A4}">
  <dimension ref="A1:H391"/>
  <sheetViews>
    <sheetView tabSelected="1" zoomScale="85" zoomScaleNormal="85" workbookViewId="0">
      <selection activeCell="F370" sqref="F370"/>
    </sheetView>
  </sheetViews>
  <sheetFormatPr defaultRowHeight="15" x14ac:dyDescent="0.25"/>
  <cols>
    <col min="2" max="2" width="21.28515625" customWidth="1"/>
    <col min="3" max="3" width="52.28515625" customWidth="1"/>
    <col min="6" max="6" width="10.5703125" bestFit="1" customWidth="1"/>
    <col min="7" max="7" width="13.28515625" bestFit="1" customWidth="1"/>
    <col min="8" max="8" width="21" bestFit="1" customWidth="1"/>
  </cols>
  <sheetData>
    <row r="1" spans="1:8" x14ac:dyDescent="0.25">
      <c r="A1" s="75"/>
      <c r="B1" s="1"/>
      <c r="C1" s="1"/>
      <c r="D1" s="1"/>
      <c r="E1" s="1"/>
      <c r="F1" s="10"/>
      <c r="G1" s="1"/>
      <c r="H1" s="1"/>
    </row>
    <row r="2" spans="1:8" x14ac:dyDescent="0.25">
      <c r="A2" s="82" t="s">
        <v>131</v>
      </c>
      <c r="B2" s="83"/>
      <c r="C2" s="83"/>
      <c r="D2" s="83"/>
      <c r="E2" s="83"/>
      <c r="F2" s="83"/>
      <c r="G2" s="83"/>
      <c r="H2" s="83"/>
    </row>
    <row r="3" spans="1:8" x14ac:dyDescent="0.25">
      <c r="A3" s="84" t="s">
        <v>130</v>
      </c>
      <c r="B3" s="84"/>
      <c r="C3" s="84"/>
      <c r="D3" s="84"/>
      <c r="E3" s="84"/>
      <c r="F3" s="84"/>
      <c r="G3" s="84"/>
      <c r="H3" s="84"/>
    </row>
    <row r="4" spans="1:8" x14ac:dyDescent="0.25">
      <c r="A4" s="2"/>
      <c r="B4" s="3"/>
      <c r="C4" s="3"/>
      <c r="D4" s="3"/>
      <c r="E4" s="3"/>
      <c r="F4" s="4"/>
      <c r="G4" s="3"/>
      <c r="H4" s="3"/>
    </row>
    <row r="5" spans="1:8" x14ac:dyDescent="0.25">
      <c r="A5" s="2"/>
      <c r="B5" s="5" t="s">
        <v>0</v>
      </c>
      <c r="C5" s="85" t="s">
        <v>103</v>
      </c>
      <c r="D5" s="85"/>
      <c r="E5" s="85"/>
      <c r="F5" s="85"/>
      <c r="G5" s="85"/>
      <c r="H5" s="85"/>
    </row>
    <row r="6" spans="1:8" x14ac:dyDescent="0.25">
      <c r="A6" s="2"/>
      <c r="B6" s="3"/>
      <c r="C6" s="3"/>
      <c r="D6" s="3"/>
      <c r="E6" s="3"/>
      <c r="F6" s="6" t="s">
        <v>1</v>
      </c>
      <c r="G6" s="7" t="s">
        <v>2</v>
      </c>
      <c r="H6" s="8">
        <f>H16</f>
        <v>75409054.612904996</v>
      </c>
    </row>
    <row r="7" spans="1:8" x14ac:dyDescent="0.25">
      <c r="A7" s="2"/>
      <c r="B7" s="3"/>
      <c r="C7" s="3"/>
      <c r="D7" s="3"/>
      <c r="E7" s="3"/>
      <c r="F7" s="9" t="s">
        <v>3</v>
      </c>
      <c r="G7" s="88">
        <v>0</v>
      </c>
      <c r="H7" s="89">
        <v>0</v>
      </c>
    </row>
    <row r="8" spans="1:8" x14ac:dyDescent="0.25">
      <c r="A8" s="2"/>
      <c r="B8" s="3"/>
      <c r="C8" s="3"/>
      <c r="D8" s="3"/>
      <c r="E8" s="3"/>
      <c r="F8" s="9" t="s">
        <v>4</v>
      </c>
      <c r="G8" s="3"/>
      <c r="H8" s="3"/>
    </row>
    <row r="9" spans="1:8" x14ac:dyDescent="0.25">
      <c r="A9" s="2"/>
      <c r="B9" s="3"/>
      <c r="C9" s="3"/>
      <c r="D9" s="3"/>
      <c r="E9" s="3"/>
      <c r="F9" s="11" t="s">
        <v>5</v>
      </c>
      <c r="G9" s="3"/>
      <c r="H9" s="3"/>
    </row>
    <row r="10" spans="1:8" x14ac:dyDescent="0.25">
      <c r="A10" s="2"/>
      <c r="B10" s="3"/>
      <c r="C10" s="3"/>
      <c r="D10" s="3"/>
      <c r="E10" s="3"/>
      <c r="F10" s="11" t="s">
        <v>6</v>
      </c>
      <c r="G10" s="3"/>
      <c r="H10" s="3"/>
    </row>
    <row r="11" spans="1:8" x14ac:dyDescent="0.25">
      <c r="A11" s="2"/>
      <c r="B11" s="3"/>
      <c r="C11" s="3"/>
      <c r="D11" s="3"/>
      <c r="E11" s="12"/>
      <c r="F11" s="11" t="s">
        <v>7</v>
      </c>
      <c r="G11" s="3" t="s">
        <v>8</v>
      </c>
      <c r="H11" s="3"/>
    </row>
    <row r="12" spans="1:8" x14ac:dyDescent="0.25">
      <c r="A12" s="2"/>
      <c r="B12" s="3"/>
      <c r="C12" s="3"/>
      <c r="D12" s="3"/>
      <c r="E12" s="12"/>
      <c r="F12" s="11" t="s">
        <v>9</v>
      </c>
      <c r="G12" s="3" t="s">
        <v>132</v>
      </c>
      <c r="H12" s="3"/>
    </row>
    <row r="13" spans="1:8" x14ac:dyDescent="0.25">
      <c r="A13" s="2"/>
      <c r="B13" s="3"/>
      <c r="C13" s="3"/>
      <c r="D13" s="3"/>
      <c r="E13" s="12"/>
      <c r="F13" s="13" t="s">
        <v>10</v>
      </c>
      <c r="G13" s="90"/>
      <c r="H13" s="91"/>
    </row>
    <row r="14" spans="1:8" x14ac:dyDescent="0.25">
      <c r="A14" s="2"/>
      <c r="B14" s="3"/>
      <c r="C14" s="3"/>
      <c r="D14" s="3"/>
      <c r="E14" s="12"/>
      <c r="F14" s="13"/>
      <c r="G14" s="76"/>
      <c r="H14" s="3"/>
    </row>
    <row r="15" spans="1:8" ht="38.25" x14ac:dyDescent="0.25">
      <c r="A15" s="14" t="s">
        <v>11</v>
      </c>
      <c r="B15" s="86" t="s">
        <v>12</v>
      </c>
      <c r="C15" s="87"/>
      <c r="D15" s="16" t="s">
        <v>13</v>
      </c>
      <c r="E15" s="16" t="s">
        <v>133</v>
      </c>
      <c r="F15" s="16" t="s">
        <v>14</v>
      </c>
      <c r="G15" s="15" t="s">
        <v>15</v>
      </c>
      <c r="H15" s="17" t="s">
        <v>16</v>
      </c>
    </row>
    <row r="16" spans="1:8" x14ac:dyDescent="0.25">
      <c r="A16" s="18"/>
      <c r="B16" s="19"/>
      <c r="C16" s="19"/>
      <c r="D16" s="20"/>
      <c r="E16" s="21"/>
      <c r="F16" s="22"/>
      <c r="G16" s="23"/>
      <c r="H16" s="23">
        <f>H17+H18</f>
        <v>75409054.612904996</v>
      </c>
    </row>
    <row r="17" spans="1:8" x14ac:dyDescent="0.25">
      <c r="A17" s="24"/>
      <c r="B17" s="50" t="s">
        <v>17</v>
      </c>
      <c r="C17" s="25"/>
      <c r="D17" s="26"/>
      <c r="E17" s="27"/>
      <c r="F17" s="28"/>
      <c r="G17" s="27"/>
      <c r="H17" s="29">
        <f>H390</f>
        <v>23259660.920000002</v>
      </c>
    </row>
    <row r="18" spans="1:8" x14ac:dyDescent="0.25">
      <c r="A18" s="24"/>
      <c r="B18" s="50" t="s">
        <v>18</v>
      </c>
      <c r="C18" s="25"/>
      <c r="D18" s="26"/>
      <c r="E18" s="27"/>
      <c r="F18" s="28"/>
      <c r="G18" s="27"/>
      <c r="H18" s="29">
        <f>H391</f>
        <v>52149393.692904994</v>
      </c>
    </row>
    <row r="19" spans="1:8" x14ac:dyDescent="0.25">
      <c r="A19" s="35">
        <v>1</v>
      </c>
      <c r="B19" s="36" t="s">
        <v>112</v>
      </c>
      <c r="C19" s="36"/>
      <c r="D19" s="37"/>
      <c r="E19" s="38"/>
      <c r="F19" s="39"/>
      <c r="G19" s="40"/>
      <c r="H19" s="40">
        <f>H20+H28+H34</f>
        <v>16325718.59</v>
      </c>
    </row>
    <row r="20" spans="1:8" x14ac:dyDescent="0.25">
      <c r="A20" s="41" t="s">
        <v>19</v>
      </c>
      <c r="B20" s="42" t="s">
        <v>114</v>
      </c>
      <c r="C20" s="43"/>
      <c r="D20" s="44"/>
      <c r="E20" s="45" t="s">
        <v>20</v>
      </c>
      <c r="F20" s="46">
        <v>7225.7</v>
      </c>
      <c r="G20" s="46">
        <f>ROUND((H21+H22)/F20,2)</f>
        <v>1096.7</v>
      </c>
      <c r="H20" s="58">
        <f>ROUND(G20*F20,2)</f>
        <v>7924425.1900000004</v>
      </c>
    </row>
    <row r="21" spans="1:8" x14ac:dyDescent="0.25">
      <c r="A21" s="24"/>
      <c r="B21" s="47" t="s">
        <v>21</v>
      </c>
      <c r="C21" s="25"/>
      <c r="D21" s="26"/>
      <c r="E21" s="27" t="s">
        <v>20</v>
      </c>
      <c r="F21" s="28">
        <f>F20</f>
        <v>7225.7</v>
      </c>
      <c r="G21" s="27">
        <v>350</v>
      </c>
      <c r="H21" s="29">
        <f>G21*F21</f>
        <v>2528995</v>
      </c>
    </row>
    <row r="22" spans="1:8" x14ac:dyDescent="0.25">
      <c r="A22" s="24"/>
      <c r="B22" s="48" t="s">
        <v>22</v>
      </c>
      <c r="C22" s="25"/>
      <c r="D22" s="26"/>
      <c r="E22" s="49"/>
      <c r="F22" s="28"/>
      <c r="G22" s="27">
        <f>H22/F20</f>
        <v>746.69849999999997</v>
      </c>
      <c r="H22" s="29">
        <f>SUM(H23:H27)</f>
        <v>5395419.35145</v>
      </c>
    </row>
    <row r="23" spans="1:8" ht="25.5" x14ac:dyDescent="0.25">
      <c r="A23" s="24"/>
      <c r="B23" s="50"/>
      <c r="C23" s="50" t="s">
        <v>23</v>
      </c>
      <c r="D23" s="31">
        <v>0.15</v>
      </c>
      <c r="E23" s="32" t="s">
        <v>24</v>
      </c>
      <c r="F23" s="51">
        <f>(D23*F20)</f>
        <v>1083.855</v>
      </c>
      <c r="G23" s="52">
        <f>2100/50</f>
        <v>42</v>
      </c>
      <c r="H23" s="29">
        <f t="shared" ref="H23:H26" si="0">G23*F23</f>
        <v>45521.91</v>
      </c>
    </row>
    <row r="24" spans="1:8" ht="25.5" x14ac:dyDescent="0.25">
      <c r="A24" s="24"/>
      <c r="B24" s="50"/>
      <c r="C24" s="53" t="s">
        <v>106</v>
      </c>
      <c r="D24" s="31">
        <f>0.15*1.05</f>
        <v>0.1575</v>
      </c>
      <c r="E24" s="32" t="s">
        <v>25</v>
      </c>
      <c r="F24" s="51">
        <f>D24*F20</f>
        <v>1138.04775</v>
      </c>
      <c r="G24" s="52">
        <v>3700</v>
      </c>
      <c r="H24" s="29">
        <f t="shared" si="0"/>
        <v>4210776.6749999998</v>
      </c>
    </row>
    <row r="25" spans="1:8" x14ac:dyDescent="0.25">
      <c r="A25" s="24"/>
      <c r="B25" s="50"/>
      <c r="C25" s="50" t="s">
        <v>26</v>
      </c>
      <c r="D25" s="31">
        <v>6</v>
      </c>
      <c r="E25" s="32" t="s">
        <v>27</v>
      </c>
      <c r="F25" s="51">
        <f>(D25*F20)</f>
        <v>43354.2</v>
      </c>
      <c r="G25" s="52">
        <f>260/25</f>
        <v>10.4</v>
      </c>
      <c r="H25" s="29">
        <f t="shared" si="0"/>
        <v>450883.68</v>
      </c>
    </row>
    <row r="26" spans="1:8" x14ac:dyDescent="0.25">
      <c r="A26" s="24"/>
      <c r="B26" s="50"/>
      <c r="C26" s="50" t="s">
        <v>28</v>
      </c>
      <c r="D26" s="31">
        <v>7</v>
      </c>
      <c r="E26" s="32" t="s">
        <v>29</v>
      </c>
      <c r="F26" s="51">
        <f>D26*F20</f>
        <v>50579.9</v>
      </c>
      <c r="G26" s="52">
        <v>10.5</v>
      </c>
      <c r="H26" s="29">
        <f t="shared" si="0"/>
        <v>531088.95000000007</v>
      </c>
    </row>
    <row r="27" spans="1:8" x14ac:dyDescent="0.25">
      <c r="A27" s="30"/>
      <c r="B27" s="50"/>
      <c r="C27" s="50" t="s">
        <v>107</v>
      </c>
      <c r="D27" s="77" t="s">
        <v>108</v>
      </c>
      <c r="E27" s="32"/>
      <c r="F27" s="33"/>
      <c r="G27" s="34"/>
      <c r="H27" s="29">
        <f>SUM(H23:H26)*0.03</f>
        <v>157148.13644999999</v>
      </c>
    </row>
    <row r="28" spans="1:8" x14ac:dyDescent="0.25">
      <c r="A28" s="41" t="s">
        <v>30</v>
      </c>
      <c r="B28" s="42" t="s">
        <v>31</v>
      </c>
      <c r="C28" s="43"/>
      <c r="D28" s="44"/>
      <c r="E28" s="45" t="s">
        <v>20</v>
      </c>
      <c r="F28" s="46">
        <f>F20+781.48</f>
        <v>8007.18</v>
      </c>
      <c r="G28" s="46">
        <f>ROUND((H29+H30)/F28,2)</f>
        <v>476.07</v>
      </c>
      <c r="H28" s="58">
        <f>ROUND(G28*F28,2)</f>
        <v>3811978.18</v>
      </c>
    </row>
    <row r="29" spans="1:8" x14ac:dyDescent="0.25">
      <c r="A29" s="24"/>
      <c r="B29" s="47" t="s">
        <v>21</v>
      </c>
      <c r="C29" s="25"/>
      <c r="D29" s="26"/>
      <c r="E29" s="27" t="s">
        <v>20</v>
      </c>
      <c r="F29" s="28">
        <f>F28</f>
        <v>8007.18</v>
      </c>
      <c r="G29" s="27">
        <v>350</v>
      </c>
      <c r="H29" s="29">
        <f>G29*F29</f>
        <v>2802513</v>
      </c>
    </row>
    <row r="30" spans="1:8" x14ac:dyDescent="0.25">
      <c r="A30" s="24"/>
      <c r="B30" s="48" t="s">
        <v>22</v>
      </c>
      <c r="C30" s="25"/>
      <c r="D30" s="26"/>
      <c r="E30" s="49"/>
      <c r="F30" s="28"/>
      <c r="G30" s="27">
        <f>H30/F28</f>
        <v>126.072</v>
      </c>
      <c r="H30" s="29">
        <f>SUM(H31:H33)</f>
        <v>1009481.1969600001</v>
      </c>
    </row>
    <row r="31" spans="1:8" x14ac:dyDescent="0.25">
      <c r="A31" s="24"/>
      <c r="B31" s="50"/>
      <c r="C31" s="53" t="s">
        <v>32</v>
      </c>
      <c r="D31" s="31">
        <v>5.5</v>
      </c>
      <c r="E31" s="32" t="s">
        <v>27</v>
      </c>
      <c r="F31" s="51">
        <f>(D31*F28)</f>
        <v>44039.490000000005</v>
      </c>
      <c r="G31" s="52">
        <f>360/25</f>
        <v>14.4</v>
      </c>
      <c r="H31" s="29">
        <f t="shared" ref="H31:H32" si="1">G31*F31</f>
        <v>634168.65600000008</v>
      </c>
    </row>
    <row r="32" spans="1:8" ht="25.5" x14ac:dyDescent="0.25">
      <c r="A32" s="24"/>
      <c r="B32" s="50"/>
      <c r="C32" s="50" t="s">
        <v>33</v>
      </c>
      <c r="D32" s="31">
        <v>1.2</v>
      </c>
      <c r="E32" s="32" t="s">
        <v>20</v>
      </c>
      <c r="F32" s="51">
        <f>(D32*F28)</f>
        <v>9608.616</v>
      </c>
      <c r="G32" s="52">
        <f>1800/50</f>
        <v>36</v>
      </c>
      <c r="H32" s="29">
        <f t="shared" si="1"/>
        <v>345910.17599999998</v>
      </c>
    </row>
    <row r="33" spans="1:8" x14ac:dyDescent="0.25">
      <c r="A33" s="30"/>
      <c r="B33" s="50"/>
      <c r="C33" s="50" t="s">
        <v>107</v>
      </c>
      <c r="D33" s="77" t="s">
        <v>108</v>
      </c>
      <c r="E33" s="32"/>
      <c r="F33" s="33"/>
      <c r="G33" s="34"/>
      <c r="H33" s="29">
        <f>SUM(H31:H32)*0.03</f>
        <v>29402.364959999999</v>
      </c>
    </row>
    <row r="34" spans="1:8" x14ac:dyDescent="0.25">
      <c r="A34" s="41" t="s">
        <v>36</v>
      </c>
      <c r="B34" s="42" t="s">
        <v>37</v>
      </c>
      <c r="C34" s="43"/>
      <c r="D34" s="44"/>
      <c r="E34" s="45" t="s">
        <v>20</v>
      </c>
      <c r="F34" s="46">
        <f>F20+781.48</f>
        <v>8007.18</v>
      </c>
      <c r="G34" s="46">
        <f>ROUND((H35+H36)/F34,2)</f>
        <v>573.15</v>
      </c>
      <c r="H34" s="58">
        <f>ROUND(G34*F34,2)</f>
        <v>4589315.22</v>
      </c>
    </row>
    <row r="35" spans="1:8" x14ac:dyDescent="0.25">
      <c r="A35" s="24"/>
      <c r="B35" s="47" t="s">
        <v>21</v>
      </c>
      <c r="C35" s="25"/>
      <c r="D35" s="26"/>
      <c r="E35" s="27" t="s">
        <v>20</v>
      </c>
      <c r="F35" s="28">
        <f>F34</f>
        <v>8007.18</v>
      </c>
      <c r="G35" s="27">
        <v>350</v>
      </c>
      <c r="H35" s="29">
        <f>G35*F35</f>
        <v>2802513</v>
      </c>
    </row>
    <row r="36" spans="1:8" x14ac:dyDescent="0.25">
      <c r="A36" s="24"/>
      <c r="B36" s="48" t="s">
        <v>22</v>
      </c>
      <c r="C36" s="25"/>
      <c r="D36" s="26"/>
      <c r="E36" s="49"/>
      <c r="F36" s="28"/>
      <c r="G36" s="27">
        <f>H36/F34</f>
        <v>223.14950000000002</v>
      </c>
      <c r="H36" s="29">
        <f>SUM(H37:H39)</f>
        <v>1786798.2134100003</v>
      </c>
    </row>
    <row r="37" spans="1:8" ht="25.5" x14ac:dyDescent="0.25">
      <c r="A37" s="24"/>
      <c r="B37" s="50"/>
      <c r="C37" s="50" t="s">
        <v>38</v>
      </c>
      <c r="D37" s="31">
        <v>0.2</v>
      </c>
      <c r="E37" s="32" t="s">
        <v>24</v>
      </c>
      <c r="F37" s="51">
        <f>(D37*F34)</f>
        <v>1601.4360000000001</v>
      </c>
      <c r="G37" s="52">
        <f>820/10</f>
        <v>82</v>
      </c>
      <c r="H37" s="29">
        <f t="shared" ref="H37:H38" si="2">G37*F37</f>
        <v>131317.75200000001</v>
      </c>
    </row>
    <row r="38" spans="1:8" ht="25.5" x14ac:dyDescent="0.25">
      <c r="A38" s="24"/>
      <c r="B38" s="50"/>
      <c r="C38" s="53" t="s">
        <v>101</v>
      </c>
      <c r="D38" s="31">
        <v>3</v>
      </c>
      <c r="E38" s="32" t="s">
        <v>27</v>
      </c>
      <c r="F38" s="51">
        <f>(F34*D38)</f>
        <v>24021.54</v>
      </c>
      <c r="G38" s="52">
        <f>1068/16</f>
        <v>66.75</v>
      </c>
      <c r="H38" s="29">
        <f t="shared" si="2"/>
        <v>1603437.7950000002</v>
      </c>
    </row>
    <row r="39" spans="1:8" x14ac:dyDescent="0.25">
      <c r="A39" s="30"/>
      <c r="B39" s="50"/>
      <c r="C39" s="50" t="s">
        <v>107</v>
      </c>
      <c r="D39" s="77" t="s">
        <v>108</v>
      </c>
      <c r="E39" s="32"/>
      <c r="F39" s="33"/>
      <c r="G39" s="34"/>
      <c r="H39" s="29">
        <f>SUM(H37:H38)*0.03</f>
        <v>52042.666410000005</v>
      </c>
    </row>
    <row r="40" spans="1:8" x14ac:dyDescent="0.25">
      <c r="A40" s="35">
        <v>1</v>
      </c>
      <c r="B40" s="36" t="s">
        <v>121</v>
      </c>
      <c r="C40" s="36"/>
      <c r="D40" s="37"/>
      <c r="E40" s="38"/>
      <c r="F40" s="39"/>
      <c r="G40" s="40"/>
      <c r="H40" s="40">
        <f>H41+H46+H52</f>
        <v>152390.76</v>
      </c>
    </row>
    <row r="41" spans="1:8" x14ac:dyDescent="0.25">
      <c r="A41" s="41" t="s">
        <v>19</v>
      </c>
      <c r="B41" s="42" t="s">
        <v>114</v>
      </c>
      <c r="C41" s="43"/>
      <c r="D41" s="44"/>
      <c r="E41" s="45" t="s">
        <v>20</v>
      </c>
      <c r="F41" s="46">
        <v>154.6</v>
      </c>
      <c r="G41" s="46">
        <f>ROUND((H42+H43)/F41,2)</f>
        <v>46.49</v>
      </c>
      <c r="H41" s="58">
        <f>ROUND(G41*F41,2)</f>
        <v>7187.35</v>
      </c>
    </row>
    <row r="42" spans="1:8" x14ac:dyDescent="0.25">
      <c r="A42" s="24"/>
      <c r="B42" s="47" t="s">
        <v>21</v>
      </c>
      <c r="C42" s="25"/>
      <c r="D42" s="26"/>
      <c r="E42" s="27" t="s">
        <v>20</v>
      </c>
      <c r="F42" s="28">
        <f>F41</f>
        <v>154.6</v>
      </c>
      <c r="G42" s="27">
        <v>40</v>
      </c>
      <c r="H42" s="29">
        <f>G42*F42</f>
        <v>6184</v>
      </c>
    </row>
    <row r="43" spans="1:8" x14ac:dyDescent="0.25">
      <c r="A43" s="24"/>
      <c r="B43" s="48" t="s">
        <v>22</v>
      </c>
      <c r="C43" s="25"/>
      <c r="D43" s="26"/>
      <c r="E43" s="49"/>
      <c r="F43" s="28"/>
      <c r="G43" s="27">
        <f>H43/F41</f>
        <v>6.488999999999999</v>
      </c>
      <c r="H43" s="29">
        <f>SUM(H44:H45)</f>
        <v>1003.1993999999999</v>
      </c>
    </row>
    <row r="44" spans="1:8" ht="25.5" x14ac:dyDescent="0.25">
      <c r="A44" s="24"/>
      <c r="B44" s="50"/>
      <c r="C44" s="50" t="s">
        <v>23</v>
      </c>
      <c r="D44" s="31">
        <v>0.15</v>
      </c>
      <c r="E44" s="32" t="s">
        <v>24</v>
      </c>
      <c r="F44" s="51">
        <f>(D44*F41)</f>
        <v>23.189999999999998</v>
      </c>
      <c r="G44" s="52">
        <f>2100/50</f>
        <v>42</v>
      </c>
      <c r="H44" s="29">
        <f t="shared" ref="H44" si="3">G44*F44</f>
        <v>973.9799999999999</v>
      </c>
    </row>
    <row r="45" spans="1:8" x14ac:dyDescent="0.25">
      <c r="A45" s="30"/>
      <c r="B45" s="50"/>
      <c r="C45" s="50" t="s">
        <v>107</v>
      </c>
      <c r="D45" s="77" t="s">
        <v>108</v>
      </c>
      <c r="E45" s="32"/>
      <c r="F45" s="33"/>
      <c r="G45" s="34"/>
      <c r="H45" s="29">
        <f>SUM(H44:H44)*0.03</f>
        <v>29.219399999999997</v>
      </c>
    </row>
    <row r="46" spans="1:8" x14ac:dyDescent="0.25">
      <c r="A46" s="41" t="s">
        <v>30</v>
      </c>
      <c r="B46" s="42" t="s">
        <v>31</v>
      </c>
      <c r="C46" s="43"/>
      <c r="D46" s="44"/>
      <c r="E46" s="45" t="s">
        <v>20</v>
      </c>
      <c r="F46" s="46">
        <f>F41</f>
        <v>154.6</v>
      </c>
      <c r="G46" s="46">
        <f>ROUND((H47+H48)/F46,2)</f>
        <v>366.07</v>
      </c>
      <c r="H46" s="58">
        <f>ROUND(G46*F46,2)</f>
        <v>56594.42</v>
      </c>
    </row>
    <row r="47" spans="1:8" x14ac:dyDescent="0.25">
      <c r="A47" s="24"/>
      <c r="B47" s="47" t="s">
        <v>21</v>
      </c>
      <c r="C47" s="25"/>
      <c r="D47" s="26"/>
      <c r="E47" s="27" t="s">
        <v>20</v>
      </c>
      <c r="F47" s="28">
        <f>F46</f>
        <v>154.6</v>
      </c>
      <c r="G47" s="27">
        <v>240</v>
      </c>
      <c r="H47" s="29">
        <f>G47*F47</f>
        <v>37104</v>
      </c>
    </row>
    <row r="48" spans="1:8" x14ac:dyDescent="0.25">
      <c r="A48" s="24"/>
      <c r="B48" s="48" t="s">
        <v>22</v>
      </c>
      <c r="C48" s="25"/>
      <c r="D48" s="26"/>
      <c r="E48" s="49"/>
      <c r="F48" s="28"/>
      <c r="G48" s="27">
        <f>H48/F46</f>
        <v>126.07200000000002</v>
      </c>
      <c r="H48" s="29">
        <f>SUM(H49:H51)</f>
        <v>19490.731200000002</v>
      </c>
    </row>
    <row r="49" spans="1:8" x14ac:dyDescent="0.25">
      <c r="A49" s="24"/>
      <c r="B49" s="50"/>
      <c r="C49" s="53" t="s">
        <v>32</v>
      </c>
      <c r="D49" s="31">
        <v>5.5</v>
      </c>
      <c r="E49" s="32" t="s">
        <v>27</v>
      </c>
      <c r="F49" s="51">
        <f>(D49*F46)</f>
        <v>850.3</v>
      </c>
      <c r="G49" s="52">
        <f>360/25</f>
        <v>14.4</v>
      </c>
      <c r="H49" s="29">
        <f t="shared" ref="H49:H50" si="4">G49*F49</f>
        <v>12244.32</v>
      </c>
    </row>
    <row r="50" spans="1:8" ht="25.5" x14ac:dyDescent="0.25">
      <c r="A50" s="24"/>
      <c r="B50" s="50"/>
      <c r="C50" s="50" t="s">
        <v>33</v>
      </c>
      <c r="D50" s="31">
        <v>1.2</v>
      </c>
      <c r="E50" s="32" t="s">
        <v>20</v>
      </c>
      <c r="F50" s="51">
        <f>(D50*F46)</f>
        <v>185.51999999999998</v>
      </c>
      <c r="G50" s="52">
        <f>1800/50</f>
        <v>36</v>
      </c>
      <c r="H50" s="29">
        <f t="shared" si="4"/>
        <v>6678.7199999999993</v>
      </c>
    </row>
    <row r="51" spans="1:8" x14ac:dyDescent="0.25">
      <c r="A51" s="30"/>
      <c r="B51" s="50"/>
      <c r="C51" s="50" t="s">
        <v>107</v>
      </c>
      <c r="D51" s="77" t="s">
        <v>108</v>
      </c>
      <c r="E51" s="32"/>
      <c r="F51" s="33"/>
      <c r="G51" s="34"/>
      <c r="H51" s="29">
        <f>SUM(H49:H50)*0.03</f>
        <v>567.69119999999998</v>
      </c>
    </row>
    <row r="52" spans="1:8" x14ac:dyDescent="0.25">
      <c r="A52" s="41" t="s">
        <v>36</v>
      </c>
      <c r="B52" s="42" t="s">
        <v>37</v>
      </c>
      <c r="C52" s="43"/>
      <c r="D52" s="44"/>
      <c r="E52" s="45" t="s">
        <v>20</v>
      </c>
      <c r="F52" s="46">
        <f>F41</f>
        <v>154.6</v>
      </c>
      <c r="G52" s="46">
        <f>ROUND((H53+H54)/F52,2)</f>
        <v>573.15</v>
      </c>
      <c r="H52" s="58">
        <f>ROUND(G52*F52,2)</f>
        <v>88608.99</v>
      </c>
    </row>
    <row r="53" spans="1:8" x14ac:dyDescent="0.25">
      <c r="A53" s="24"/>
      <c r="B53" s="47" t="s">
        <v>21</v>
      </c>
      <c r="C53" s="25"/>
      <c r="D53" s="26"/>
      <c r="E53" s="27" t="s">
        <v>20</v>
      </c>
      <c r="F53" s="28">
        <f>F52</f>
        <v>154.6</v>
      </c>
      <c r="G53" s="27">
        <v>350</v>
      </c>
      <c r="H53" s="29">
        <f>G53*F53</f>
        <v>54110</v>
      </c>
    </row>
    <row r="54" spans="1:8" x14ac:dyDescent="0.25">
      <c r="A54" s="24"/>
      <c r="B54" s="48" t="s">
        <v>22</v>
      </c>
      <c r="C54" s="25"/>
      <c r="D54" s="26"/>
      <c r="E54" s="49"/>
      <c r="F54" s="28"/>
      <c r="G54" s="27">
        <f>H54/F52</f>
        <v>223.14949999999996</v>
      </c>
      <c r="H54" s="29">
        <f>SUM(H55:H57)</f>
        <v>34498.912699999993</v>
      </c>
    </row>
    <row r="55" spans="1:8" ht="25.5" x14ac:dyDescent="0.25">
      <c r="A55" s="24"/>
      <c r="B55" s="50"/>
      <c r="C55" s="50" t="s">
        <v>38</v>
      </c>
      <c r="D55" s="31">
        <v>0.2</v>
      </c>
      <c r="E55" s="32" t="s">
        <v>24</v>
      </c>
      <c r="F55" s="51">
        <f>(D55*F52)</f>
        <v>30.92</v>
      </c>
      <c r="G55" s="52">
        <f>820/10</f>
        <v>82</v>
      </c>
      <c r="H55" s="29">
        <f t="shared" ref="H55:H56" si="5">G55*F55</f>
        <v>2535.44</v>
      </c>
    </row>
    <row r="56" spans="1:8" ht="25.5" x14ac:dyDescent="0.25">
      <c r="A56" s="24"/>
      <c r="B56" s="50"/>
      <c r="C56" s="53" t="s">
        <v>101</v>
      </c>
      <c r="D56" s="31">
        <v>3</v>
      </c>
      <c r="E56" s="32" t="s">
        <v>27</v>
      </c>
      <c r="F56" s="51">
        <f>(F52*D56)</f>
        <v>463.79999999999995</v>
      </c>
      <c r="G56" s="52">
        <f>1068/16</f>
        <v>66.75</v>
      </c>
      <c r="H56" s="29">
        <f t="shared" si="5"/>
        <v>30958.649999999998</v>
      </c>
    </row>
    <row r="57" spans="1:8" x14ac:dyDescent="0.25">
      <c r="A57" s="30"/>
      <c r="B57" s="50"/>
      <c r="C57" s="50" t="s">
        <v>107</v>
      </c>
      <c r="D57" s="77" t="s">
        <v>108</v>
      </c>
      <c r="E57" s="32"/>
      <c r="F57" s="33"/>
      <c r="G57" s="34"/>
      <c r="H57" s="29">
        <f>SUM(H55:H56)*0.03</f>
        <v>1004.8226999999998</v>
      </c>
    </row>
    <row r="58" spans="1:8" x14ac:dyDescent="0.25">
      <c r="A58" s="35">
        <v>1</v>
      </c>
      <c r="B58" s="36" t="s">
        <v>113</v>
      </c>
      <c r="C58" s="36"/>
      <c r="D58" s="37"/>
      <c r="E58" s="38"/>
      <c r="F58" s="39"/>
      <c r="G58" s="40"/>
      <c r="H58" s="40">
        <f>H59+H67+H73</f>
        <v>352854.02</v>
      </c>
    </row>
    <row r="59" spans="1:8" x14ac:dyDescent="0.25">
      <c r="A59" s="41" t="s">
        <v>19</v>
      </c>
      <c r="B59" s="42" t="s">
        <v>114</v>
      </c>
      <c r="C59" s="43"/>
      <c r="D59" s="44"/>
      <c r="E59" s="45" t="s">
        <v>20</v>
      </c>
      <c r="F59" s="46">
        <v>170.8</v>
      </c>
      <c r="G59" s="46">
        <f>ROUND((H60+H61)/F59,2)</f>
        <v>1016.67</v>
      </c>
      <c r="H59" s="58">
        <f>ROUND(G59*F59,2)</f>
        <v>173647.24</v>
      </c>
    </row>
    <row r="60" spans="1:8" x14ac:dyDescent="0.25">
      <c r="A60" s="24"/>
      <c r="B60" s="47" t="s">
        <v>21</v>
      </c>
      <c r="C60" s="25"/>
      <c r="D60" s="26"/>
      <c r="E60" s="27" t="s">
        <v>20</v>
      </c>
      <c r="F60" s="28">
        <f>F59</f>
        <v>170.8</v>
      </c>
      <c r="G60" s="27">
        <v>350</v>
      </c>
      <c r="H60" s="29">
        <f>G60*F60</f>
        <v>59780.000000000007</v>
      </c>
    </row>
    <row r="61" spans="1:8" x14ac:dyDescent="0.25">
      <c r="A61" s="24"/>
      <c r="B61" s="48" t="s">
        <v>22</v>
      </c>
      <c r="C61" s="25"/>
      <c r="D61" s="26"/>
      <c r="E61" s="49"/>
      <c r="F61" s="28"/>
      <c r="G61" s="27">
        <f>H61/F59</f>
        <v>666.66750000000002</v>
      </c>
      <c r="H61" s="29">
        <f>SUM(H62:H66)</f>
        <v>113866.80900000001</v>
      </c>
    </row>
    <row r="62" spans="1:8" ht="25.5" x14ac:dyDescent="0.25">
      <c r="A62" s="24"/>
      <c r="B62" s="50"/>
      <c r="C62" s="50" t="s">
        <v>23</v>
      </c>
      <c r="D62" s="31">
        <v>0.15</v>
      </c>
      <c r="E62" s="32" t="s">
        <v>24</v>
      </c>
      <c r="F62" s="51">
        <f>(D62*F59)</f>
        <v>25.62</v>
      </c>
      <c r="G62" s="52">
        <f>2100/50</f>
        <v>42</v>
      </c>
      <c r="H62" s="29">
        <f t="shared" ref="H62:H65" si="6">G62*F62</f>
        <v>1076.04</v>
      </c>
    </row>
    <row r="63" spans="1:8" ht="25.5" x14ac:dyDescent="0.25">
      <c r="A63" s="24"/>
      <c r="B63" s="50"/>
      <c r="C63" s="53" t="s">
        <v>115</v>
      </c>
      <c r="D63" s="31">
        <f>0.13*1.05</f>
        <v>0.13650000000000001</v>
      </c>
      <c r="E63" s="32" t="s">
        <v>25</v>
      </c>
      <c r="F63" s="51">
        <f>D63*F59</f>
        <v>23.314200000000003</v>
      </c>
      <c r="G63" s="52">
        <v>3700</v>
      </c>
      <c r="H63" s="29">
        <f t="shared" si="6"/>
        <v>86262.540000000008</v>
      </c>
    </row>
    <row r="64" spans="1:8" x14ac:dyDescent="0.25">
      <c r="A64" s="24"/>
      <c r="B64" s="50"/>
      <c r="C64" s="50" t="s">
        <v>26</v>
      </c>
      <c r="D64" s="31">
        <v>6</v>
      </c>
      <c r="E64" s="32" t="s">
        <v>27</v>
      </c>
      <c r="F64" s="51">
        <f>(D64*F59)</f>
        <v>1024.8000000000002</v>
      </c>
      <c r="G64" s="52">
        <f>260/25</f>
        <v>10.4</v>
      </c>
      <c r="H64" s="29">
        <f t="shared" si="6"/>
        <v>10657.920000000002</v>
      </c>
    </row>
    <row r="65" spans="1:8" ht="25.5" x14ac:dyDescent="0.25">
      <c r="A65" s="24"/>
      <c r="B65" s="50"/>
      <c r="C65" s="50" t="s">
        <v>28</v>
      </c>
      <c r="D65" s="31">
        <v>7</v>
      </c>
      <c r="E65" s="32" t="s">
        <v>29</v>
      </c>
      <c r="F65" s="51">
        <f>D65*F59</f>
        <v>1195.6000000000001</v>
      </c>
      <c r="G65" s="52">
        <v>10.5</v>
      </c>
      <c r="H65" s="29">
        <f t="shared" si="6"/>
        <v>12553.800000000001</v>
      </c>
    </row>
    <row r="66" spans="1:8" x14ac:dyDescent="0.25">
      <c r="A66" s="30"/>
      <c r="B66" s="50"/>
      <c r="C66" s="50" t="s">
        <v>107</v>
      </c>
      <c r="D66" s="77" t="s">
        <v>108</v>
      </c>
      <c r="E66" s="32"/>
      <c r="F66" s="33"/>
      <c r="G66" s="34"/>
      <c r="H66" s="29">
        <f>SUM(H62:H65)*0.03</f>
        <v>3316.509</v>
      </c>
    </row>
    <row r="67" spans="1:8" x14ac:dyDescent="0.25">
      <c r="A67" s="41" t="s">
        <v>30</v>
      </c>
      <c r="B67" s="42" t="s">
        <v>31</v>
      </c>
      <c r="C67" s="43"/>
      <c r="D67" s="44"/>
      <c r="E67" s="45" t="s">
        <v>20</v>
      </c>
      <c r="F67" s="46">
        <f>F59</f>
        <v>170.8</v>
      </c>
      <c r="G67" s="46">
        <f>ROUND((H68+H69)/F67,2)</f>
        <v>476.07</v>
      </c>
      <c r="H67" s="58">
        <f>ROUND(G67*F67,2)</f>
        <v>81312.759999999995</v>
      </c>
    </row>
    <row r="68" spans="1:8" x14ac:dyDescent="0.25">
      <c r="A68" s="24"/>
      <c r="B68" s="47" t="s">
        <v>21</v>
      </c>
      <c r="C68" s="25"/>
      <c r="D68" s="26"/>
      <c r="E68" s="27" t="s">
        <v>20</v>
      </c>
      <c r="F68" s="28">
        <f>F67</f>
        <v>170.8</v>
      </c>
      <c r="G68" s="27">
        <v>350</v>
      </c>
      <c r="H68" s="29">
        <f>G68*F68</f>
        <v>59780.000000000007</v>
      </c>
    </row>
    <row r="69" spans="1:8" x14ac:dyDescent="0.25">
      <c r="A69" s="24"/>
      <c r="B69" s="48" t="s">
        <v>22</v>
      </c>
      <c r="C69" s="25"/>
      <c r="D69" s="26"/>
      <c r="E69" s="49"/>
      <c r="F69" s="28"/>
      <c r="G69" s="27">
        <f>H69/F67</f>
        <v>126.072</v>
      </c>
      <c r="H69" s="29">
        <f>SUM(H70:H72)</f>
        <v>21533.097600000001</v>
      </c>
    </row>
    <row r="70" spans="1:8" x14ac:dyDescent="0.25">
      <c r="A70" s="24"/>
      <c r="B70" s="50"/>
      <c r="C70" s="53" t="s">
        <v>32</v>
      </c>
      <c r="D70" s="31">
        <v>5.5</v>
      </c>
      <c r="E70" s="32" t="s">
        <v>27</v>
      </c>
      <c r="F70" s="51">
        <f>(D70*F67)</f>
        <v>939.40000000000009</v>
      </c>
      <c r="G70" s="52">
        <f>360/25</f>
        <v>14.4</v>
      </c>
      <c r="H70" s="29">
        <f t="shared" ref="H70:H71" si="7">G70*F70</f>
        <v>13527.360000000002</v>
      </c>
    </row>
    <row r="71" spans="1:8" ht="25.5" x14ac:dyDescent="0.25">
      <c r="A71" s="24"/>
      <c r="B71" s="50"/>
      <c r="C71" s="50" t="s">
        <v>33</v>
      </c>
      <c r="D71" s="31">
        <v>1.2</v>
      </c>
      <c r="E71" s="32" t="s">
        <v>20</v>
      </c>
      <c r="F71" s="51">
        <f>(D71*F67)</f>
        <v>204.96</v>
      </c>
      <c r="G71" s="52">
        <f>1800/50</f>
        <v>36</v>
      </c>
      <c r="H71" s="29">
        <f t="shared" si="7"/>
        <v>7378.56</v>
      </c>
    </row>
    <row r="72" spans="1:8" x14ac:dyDescent="0.25">
      <c r="A72" s="30"/>
      <c r="B72" s="50"/>
      <c r="C72" s="50" t="s">
        <v>107</v>
      </c>
      <c r="D72" s="77" t="s">
        <v>108</v>
      </c>
      <c r="E72" s="32"/>
      <c r="F72" s="33"/>
      <c r="G72" s="34"/>
      <c r="H72" s="29">
        <f>SUM(H70:H71)*0.03</f>
        <v>627.17759999999998</v>
      </c>
    </row>
    <row r="73" spans="1:8" x14ac:dyDescent="0.25">
      <c r="A73" s="41" t="s">
        <v>36</v>
      </c>
      <c r="B73" s="42" t="s">
        <v>37</v>
      </c>
      <c r="C73" s="43"/>
      <c r="D73" s="44"/>
      <c r="E73" s="45" t="s">
        <v>20</v>
      </c>
      <c r="F73" s="46">
        <f>F59</f>
        <v>170.8</v>
      </c>
      <c r="G73" s="46">
        <f>ROUND((H74+H75)/F73,2)</f>
        <v>573.15</v>
      </c>
      <c r="H73" s="58">
        <f>ROUND(G73*F73,2)</f>
        <v>97894.02</v>
      </c>
    </row>
    <row r="74" spans="1:8" x14ac:dyDescent="0.25">
      <c r="A74" s="24"/>
      <c r="B74" s="47" t="s">
        <v>21</v>
      </c>
      <c r="C74" s="25"/>
      <c r="D74" s="26"/>
      <c r="E74" s="27" t="s">
        <v>20</v>
      </c>
      <c r="F74" s="28">
        <f>F73</f>
        <v>170.8</v>
      </c>
      <c r="G74" s="27">
        <v>350</v>
      </c>
      <c r="H74" s="29">
        <f>G74*F74</f>
        <v>59780.000000000007</v>
      </c>
    </row>
    <row r="75" spans="1:8" x14ac:dyDescent="0.25">
      <c r="A75" s="24"/>
      <c r="B75" s="48" t="s">
        <v>22</v>
      </c>
      <c r="C75" s="25"/>
      <c r="D75" s="26"/>
      <c r="E75" s="49"/>
      <c r="F75" s="28"/>
      <c r="G75" s="27">
        <f>H75/F73</f>
        <v>223.14950000000002</v>
      </c>
      <c r="H75" s="29">
        <f>SUM(H76:H78)</f>
        <v>38113.934600000008</v>
      </c>
    </row>
    <row r="76" spans="1:8" ht="25.5" x14ac:dyDescent="0.25">
      <c r="A76" s="24"/>
      <c r="B76" s="50"/>
      <c r="C76" s="50" t="s">
        <v>38</v>
      </c>
      <c r="D76" s="31">
        <v>0.2</v>
      </c>
      <c r="E76" s="32" t="s">
        <v>24</v>
      </c>
      <c r="F76" s="51">
        <f>(D76*F73)</f>
        <v>34.160000000000004</v>
      </c>
      <c r="G76" s="52">
        <f>820/10</f>
        <v>82</v>
      </c>
      <c r="H76" s="29">
        <f t="shared" ref="H76:H77" si="8">G76*F76</f>
        <v>2801.1200000000003</v>
      </c>
    </row>
    <row r="77" spans="1:8" ht="25.5" x14ac:dyDescent="0.25">
      <c r="A77" s="24"/>
      <c r="B77" s="50"/>
      <c r="C77" s="53" t="s">
        <v>101</v>
      </c>
      <c r="D77" s="31">
        <v>3</v>
      </c>
      <c r="E77" s="32" t="s">
        <v>27</v>
      </c>
      <c r="F77" s="51">
        <f>(F73*D77)</f>
        <v>512.40000000000009</v>
      </c>
      <c r="G77" s="52">
        <f>1068/16</f>
        <v>66.75</v>
      </c>
      <c r="H77" s="29">
        <f t="shared" si="8"/>
        <v>34202.700000000004</v>
      </c>
    </row>
    <row r="78" spans="1:8" x14ac:dyDescent="0.25">
      <c r="A78" s="30"/>
      <c r="B78" s="50"/>
      <c r="C78" s="50" t="s">
        <v>107</v>
      </c>
      <c r="D78" s="77" t="s">
        <v>108</v>
      </c>
      <c r="E78" s="32"/>
      <c r="F78" s="33"/>
      <c r="G78" s="34"/>
      <c r="H78" s="29">
        <f>SUM(H76:H77)*0.03</f>
        <v>1110.1146000000001</v>
      </c>
    </row>
    <row r="79" spans="1:8" x14ac:dyDescent="0.25">
      <c r="A79" s="35">
        <v>1</v>
      </c>
      <c r="B79" s="36" t="s">
        <v>116</v>
      </c>
      <c r="C79" s="36"/>
      <c r="D79" s="37"/>
      <c r="E79" s="38"/>
      <c r="F79" s="39"/>
      <c r="G79" s="40"/>
      <c r="H79" s="40">
        <f>H80+H88+H94</f>
        <v>615664.44999999995</v>
      </c>
    </row>
    <row r="80" spans="1:8" x14ac:dyDescent="0.25">
      <c r="A80" s="41" t="s">
        <v>19</v>
      </c>
      <c r="B80" s="42" t="s">
        <v>110</v>
      </c>
      <c r="C80" s="43"/>
      <c r="D80" s="44"/>
      <c r="E80" s="45" t="s">
        <v>20</v>
      </c>
      <c r="F80" s="46">
        <v>286.89999999999998</v>
      </c>
      <c r="G80" s="46">
        <f>ROUND((H81+H82)/F80,2)</f>
        <v>1096.7</v>
      </c>
      <c r="H80" s="58">
        <f>ROUND(G80*F80,2)</f>
        <v>314643.23</v>
      </c>
    </row>
    <row r="81" spans="1:8" x14ac:dyDescent="0.25">
      <c r="A81" s="24"/>
      <c r="B81" s="47" t="s">
        <v>21</v>
      </c>
      <c r="C81" s="25"/>
      <c r="D81" s="26"/>
      <c r="E81" s="27" t="s">
        <v>20</v>
      </c>
      <c r="F81" s="28">
        <f>F80</f>
        <v>286.89999999999998</v>
      </c>
      <c r="G81" s="27">
        <v>350</v>
      </c>
      <c r="H81" s="29">
        <f>G81*F81</f>
        <v>100414.99999999999</v>
      </c>
    </row>
    <row r="82" spans="1:8" x14ac:dyDescent="0.25">
      <c r="A82" s="24"/>
      <c r="B82" s="48" t="s">
        <v>22</v>
      </c>
      <c r="C82" s="25"/>
      <c r="D82" s="26"/>
      <c r="E82" s="49"/>
      <c r="F82" s="28"/>
      <c r="G82" s="27">
        <f>H82/F80</f>
        <v>746.69849999999997</v>
      </c>
      <c r="H82" s="29">
        <f>SUM(H83:H87)</f>
        <v>214227.79964999997</v>
      </c>
    </row>
    <row r="83" spans="1:8" ht="25.5" x14ac:dyDescent="0.25">
      <c r="A83" s="24"/>
      <c r="B83" s="50"/>
      <c r="C83" s="50" t="s">
        <v>23</v>
      </c>
      <c r="D83" s="31">
        <v>0.15</v>
      </c>
      <c r="E83" s="32" t="s">
        <v>24</v>
      </c>
      <c r="F83" s="51">
        <f>(D83*F80)</f>
        <v>43.034999999999997</v>
      </c>
      <c r="G83" s="52">
        <f>2100/50</f>
        <v>42</v>
      </c>
      <c r="H83" s="29">
        <f t="shared" ref="H83:H86" si="9">G83*F83</f>
        <v>1807.4699999999998</v>
      </c>
    </row>
    <row r="84" spans="1:8" ht="25.5" x14ac:dyDescent="0.25">
      <c r="A84" s="24"/>
      <c r="B84" s="50"/>
      <c r="C84" s="53" t="s">
        <v>106</v>
      </c>
      <c r="D84" s="31">
        <f>0.15*1.05</f>
        <v>0.1575</v>
      </c>
      <c r="E84" s="32" t="s">
        <v>25</v>
      </c>
      <c r="F84" s="51">
        <f>D84*F80</f>
        <v>45.186749999999996</v>
      </c>
      <c r="G84" s="52">
        <v>3700</v>
      </c>
      <c r="H84" s="29">
        <f t="shared" si="9"/>
        <v>167190.97499999998</v>
      </c>
    </row>
    <row r="85" spans="1:8" x14ac:dyDescent="0.25">
      <c r="A85" s="24"/>
      <c r="B85" s="50"/>
      <c r="C85" s="50" t="s">
        <v>26</v>
      </c>
      <c r="D85" s="31">
        <v>6</v>
      </c>
      <c r="E85" s="32" t="s">
        <v>27</v>
      </c>
      <c r="F85" s="51">
        <f>(D85*F80)</f>
        <v>1721.3999999999999</v>
      </c>
      <c r="G85" s="52">
        <f>260/25</f>
        <v>10.4</v>
      </c>
      <c r="H85" s="29">
        <f t="shared" si="9"/>
        <v>17902.559999999998</v>
      </c>
    </row>
    <row r="86" spans="1:8" x14ac:dyDescent="0.25">
      <c r="A86" s="24"/>
      <c r="B86" s="50"/>
      <c r="C86" s="50" t="s">
        <v>28</v>
      </c>
      <c r="D86" s="31">
        <v>7</v>
      </c>
      <c r="E86" s="32" t="s">
        <v>29</v>
      </c>
      <c r="F86" s="51">
        <f>D86*F80</f>
        <v>2008.2999999999997</v>
      </c>
      <c r="G86" s="52">
        <v>10.5</v>
      </c>
      <c r="H86" s="29">
        <f t="shared" si="9"/>
        <v>21087.149999999998</v>
      </c>
    </row>
    <row r="87" spans="1:8" x14ac:dyDescent="0.25">
      <c r="A87" s="30"/>
      <c r="B87" s="50"/>
      <c r="C87" s="50" t="s">
        <v>107</v>
      </c>
      <c r="D87" s="77" t="s">
        <v>108</v>
      </c>
      <c r="E87" s="32"/>
      <c r="F87" s="33"/>
      <c r="G87" s="34"/>
      <c r="H87" s="29">
        <f>SUM(H83:H86)*0.03</f>
        <v>6239.6446499999993</v>
      </c>
    </row>
    <row r="88" spans="1:8" x14ac:dyDescent="0.25">
      <c r="A88" s="41" t="s">
        <v>30</v>
      </c>
      <c r="B88" s="42" t="s">
        <v>31</v>
      </c>
      <c r="C88" s="43"/>
      <c r="D88" s="44"/>
      <c r="E88" s="45" t="s">
        <v>20</v>
      </c>
      <c r="F88" s="46">
        <f>F80</f>
        <v>286.89999999999998</v>
      </c>
      <c r="G88" s="46">
        <f>ROUND((H89+H90)/F88,2)</f>
        <v>476.07</v>
      </c>
      <c r="H88" s="58">
        <f>ROUND(G88*F88,2)</f>
        <v>136584.48000000001</v>
      </c>
    </row>
    <row r="89" spans="1:8" x14ac:dyDescent="0.25">
      <c r="A89" s="24"/>
      <c r="B89" s="47" t="s">
        <v>21</v>
      </c>
      <c r="C89" s="25"/>
      <c r="D89" s="26"/>
      <c r="E89" s="27" t="s">
        <v>20</v>
      </c>
      <c r="F89" s="28">
        <f>F88</f>
        <v>286.89999999999998</v>
      </c>
      <c r="G89" s="27">
        <v>350</v>
      </c>
      <c r="H89" s="29">
        <f>G89*F89</f>
        <v>100414.99999999999</v>
      </c>
    </row>
    <row r="90" spans="1:8" x14ac:dyDescent="0.25">
      <c r="A90" s="24"/>
      <c r="B90" s="48" t="s">
        <v>22</v>
      </c>
      <c r="C90" s="25"/>
      <c r="D90" s="26"/>
      <c r="E90" s="49"/>
      <c r="F90" s="28"/>
      <c r="G90" s="27">
        <f>H90/F88</f>
        <v>126.072</v>
      </c>
      <c r="H90" s="29">
        <f>SUM(H91:H93)</f>
        <v>36170.056799999998</v>
      </c>
    </row>
    <row r="91" spans="1:8" x14ac:dyDescent="0.25">
      <c r="A91" s="24"/>
      <c r="B91" s="50"/>
      <c r="C91" s="53" t="s">
        <v>32</v>
      </c>
      <c r="D91" s="31">
        <v>5.5</v>
      </c>
      <c r="E91" s="32" t="s">
        <v>27</v>
      </c>
      <c r="F91" s="51">
        <f>(D91*F88)</f>
        <v>1577.9499999999998</v>
      </c>
      <c r="G91" s="52">
        <f>360/25</f>
        <v>14.4</v>
      </c>
      <c r="H91" s="29">
        <f t="shared" ref="H91:H92" si="10">G91*F91</f>
        <v>22722.48</v>
      </c>
    </row>
    <row r="92" spans="1:8" ht="25.5" x14ac:dyDescent="0.25">
      <c r="A92" s="24"/>
      <c r="B92" s="50"/>
      <c r="C92" s="50" t="s">
        <v>33</v>
      </c>
      <c r="D92" s="31">
        <v>1.2</v>
      </c>
      <c r="E92" s="32" t="s">
        <v>20</v>
      </c>
      <c r="F92" s="51">
        <f>(D92*F88)</f>
        <v>344.28</v>
      </c>
      <c r="G92" s="52">
        <f>1800/50</f>
        <v>36</v>
      </c>
      <c r="H92" s="29">
        <f t="shared" si="10"/>
        <v>12394.079999999998</v>
      </c>
    </row>
    <row r="93" spans="1:8" x14ac:dyDescent="0.25">
      <c r="A93" s="30"/>
      <c r="B93" s="50"/>
      <c r="C93" s="50" t="s">
        <v>107</v>
      </c>
      <c r="D93" s="77" t="s">
        <v>108</v>
      </c>
      <c r="E93" s="32"/>
      <c r="F93" s="33"/>
      <c r="G93" s="34"/>
      <c r="H93" s="29">
        <f>SUM(H91:H92)*0.03</f>
        <v>1053.4967999999999</v>
      </c>
    </row>
    <row r="94" spans="1:8" x14ac:dyDescent="0.25">
      <c r="A94" s="41" t="s">
        <v>36</v>
      </c>
      <c r="B94" s="42" t="s">
        <v>37</v>
      </c>
      <c r="C94" s="43"/>
      <c r="D94" s="44"/>
      <c r="E94" s="45" t="s">
        <v>20</v>
      </c>
      <c r="F94" s="46">
        <f>F80</f>
        <v>286.89999999999998</v>
      </c>
      <c r="G94" s="46">
        <f>ROUND((H95+H96)/F94,2)</f>
        <v>573.15</v>
      </c>
      <c r="H94" s="58">
        <f>ROUND(G94*F94,2)</f>
        <v>164436.74</v>
      </c>
    </row>
    <row r="95" spans="1:8" x14ac:dyDescent="0.25">
      <c r="A95" s="24"/>
      <c r="B95" s="47" t="s">
        <v>21</v>
      </c>
      <c r="C95" s="25"/>
      <c r="D95" s="26"/>
      <c r="E95" s="27" t="s">
        <v>20</v>
      </c>
      <c r="F95" s="28">
        <f>F94</f>
        <v>286.89999999999998</v>
      </c>
      <c r="G95" s="27">
        <v>350</v>
      </c>
      <c r="H95" s="29">
        <f>G95*F95</f>
        <v>100414.99999999999</v>
      </c>
    </row>
    <row r="96" spans="1:8" x14ac:dyDescent="0.25">
      <c r="A96" s="24"/>
      <c r="B96" s="48" t="s">
        <v>22</v>
      </c>
      <c r="C96" s="25"/>
      <c r="D96" s="26"/>
      <c r="E96" s="49"/>
      <c r="F96" s="28"/>
      <c r="G96" s="27">
        <f>H96/F94</f>
        <v>223.14950000000002</v>
      </c>
      <c r="H96" s="29">
        <f>SUM(H97:H99)</f>
        <v>64021.591549999997</v>
      </c>
    </row>
    <row r="97" spans="1:8" ht="25.5" x14ac:dyDescent="0.25">
      <c r="A97" s="24"/>
      <c r="B97" s="50"/>
      <c r="C97" s="50" t="s">
        <v>38</v>
      </c>
      <c r="D97" s="31">
        <v>0.2</v>
      </c>
      <c r="E97" s="32" t="s">
        <v>24</v>
      </c>
      <c r="F97" s="51">
        <f>(D97*F94)</f>
        <v>57.379999999999995</v>
      </c>
      <c r="G97" s="52">
        <f>820/10</f>
        <v>82</v>
      </c>
      <c r="H97" s="29">
        <f t="shared" ref="H97:H98" si="11">G97*F97</f>
        <v>4705.16</v>
      </c>
    </row>
    <row r="98" spans="1:8" ht="25.5" x14ac:dyDescent="0.25">
      <c r="A98" s="24"/>
      <c r="B98" s="50"/>
      <c r="C98" s="53" t="s">
        <v>101</v>
      </c>
      <c r="D98" s="31">
        <v>3</v>
      </c>
      <c r="E98" s="32" t="s">
        <v>27</v>
      </c>
      <c r="F98" s="51">
        <f>(F94*D98)</f>
        <v>860.69999999999993</v>
      </c>
      <c r="G98" s="52">
        <f>1068/16</f>
        <v>66.75</v>
      </c>
      <c r="H98" s="29">
        <f t="shared" si="11"/>
        <v>57451.724999999999</v>
      </c>
    </row>
    <row r="99" spans="1:8" x14ac:dyDescent="0.25">
      <c r="A99" s="30"/>
      <c r="B99" s="50"/>
      <c r="C99" s="50" t="s">
        <v>107</v>
      </c>
      <c r="D99" s="77" t="s">
        <v>108</v>
      </c>
      <c r="E99" s="32"/>
      <c r="F99" s="33"/>
      <c r="G99" s="34"/>
      <c r="H99" s="29">
        <f>SUM(H97:H98)*0.03</f>
        <v>1864.7065499999999</v>
      </c>
    </row>
    <row r="100" spans="1:8" x14ac:dyDescent="0.25">
      <c r="A100" s="35">
        <v>1</v>
      </c>
      <c r="B100" s="36" t="s">
        <v>118</v>
      </c>
      <c r="C100" s="36"/>
      <c r="D100" s="37"/>
      <c r="E100" s="38"/>
      <c r="F100" s="39"/>
      <c r="G100" s="40"/>
      <c r="H100" s="40">
        <f>H101+H109+H115</f>
        <v>128326.02000000002</v>
      </c>
    </row>
    <row r="101" spans="1:8" x14ac:dyDescent="0.25">
      <c r="A101" s="41" t="s">
        <v>19</v>
      </c>
      <c r="B101" s="42" t="s">
        <v>114</v>
      </c>
      <c r="C101" s="43"/>
      <c r="D101" s="44"/>
      <c r="E101" s="45" t="s">
        <v>20</v>
      </c>
      <c r="F101" s="46">
        <v>59.8</v>
      </c>
      <c r="G101" s="46">
        <f>ROUND((H102+H103)/F101,2)</f>
        <v>1096.7</v>
      </c>
      <c r="H101" s="58">
        <f>ROUND(G101*F101,2)</f>
        <v>65582.66</v>
      </c>
    </row>
    <row r="102" spans="1:8" x14ac:dyDescent="0.25">
      <c r="A102" s="24"/>
      <c r="B102" s="47" t="s">
        <v>21</v>
      </c>
      <c r="C102" s="25"/>
      <c r="D102" s="26"/>
      <c r="E102" s="27" t="s">
        <v>20</v>
      </c>
      <c r="F102" s="28">
        <f>F101</f>
        <v>59.8</v>
      </c>
      <c r="G102" s="27">
        <v>350</v>
      </c>
      <c r="H102" s="29">
        <f>G102*F102</f>
        <v>20930</v>
      </c>
    </row>
    <row r="103" spans="1:8" x14ac:dyDescent="0.25">
      <c r="A103" s="24"/>
      <c r="B103" s="48" t="s">
        <v>22</v>
      </c>
      <c r="C103" s="25"/>
      <c r="D103" s="26"/>
      <c r="E103" s="49"/>
      <c r="F103" s="28"/>
      <c r="G103" s="27">
        <f>H103/F101</f>
        <v>746.69849999999985</v>
      </c>
      <c r="H103" s="29">
        <f>SUM(H104:H108)</f>
        <v>44652.570299999992</v>
      </c>
    </row>
    <row r="104" spans="1:8" ht="25.5" x14ac:dyDescent="0.25">
      <c r="A104" s="24"/>
      <c r="B104" s="50"/>
      <c r="C104" s="50" t="s">
        <v>23</v>
      </c>
      <c r="D104" s="31">
        <v>0.15</v>
      </c>
      <c r="E104" s="32" t="s">
        <v>24</v>
      </c>
      <c r="F104" s="51">
        <f>(D104*F101)</f>
        <v>8.9699999999999989</v>
      </c>
      <c r="G104" s="52">
        <f>2100/50</f>
        <v>42</v>
      </c>
      <c r="H104" s="29">
        <f t="shared" ref="H104:H107" si="12">G104*F104</f>
        <v>376.73999999999995</v>
      </c>
    </row>
    <row r="105" spans="1:8" ht="25.5" x14ac:dyDescent="0.25">
      <c r="A105" s="24"/>
      <c r="B105" s="50"/>
      <c r="C105" s="53" t="s">
        <v>106</v>
      </c>
      <c r="D105" s="31">
        <f>0.15*1.05</f>
        <v>0.1575</v>
      </c>
      <c r="E105" s="32" t="s">
        <v>25</v>
      </c>
      <c r="F105" s="51">
        <f>D105*F101</f>
        <v>9.4184999999999999</v>
      </c>
      <c r="G105" s="52">
        <v>3700</v>
      </c>
      <c r="H105" s="29">
        <f t="shared" si="12"/>
        <v>34848.449999999997</v>
      </c>
    </row>
    <row r="106" spans="1:8" x14ac:dyDescent="0.25">
      <c r="A106" s="24"/>
      <c r="B106" s="50"/>
      <c r="C106" s="50" t="s">
        <v>26</v>
      </c>
      <c r="D106" s="31">
        <v>6</v>
      </c>
      <c r="E106" s="32" t="s">
        <v>27</v>
      </c>
      <c r="F106" s="51">
        <f>(D106*F101)</f>
        <v>358.79999999999995</v>
      </c>
      <c r="G106" s="52">
        <f>260/25</f>
        <v>10.4</v>
      </c>
      <c r="H106" s="29">
        <f t="shared" si="12"/>
        <v>3731.5199999999995</v>
      </c>
    </row>
    <row r="107" spans="1:8" x14ac:dyDescent="0.25">
      <c r="A107" s="24"/>
      <c r="B107" s="50"/>
      <c r="C107" s="50" t="s">
        <v>28</v>
      </c>
      <c r="D107" s="31">
        <v>7</v>
      </c>
      <c r="E107" s="32" t="s">
        <v>29</v>
      </c>
      <c r="F107" s="51">
        <f>D107*F101</f>
        <v>418.59999999999997</v>
      </c>
      <c r="G107" s="52">
        <v>10.5</v>
      </c>
      <c r="H107" s="29">
        <f t="shared" si="12"/>
        <v>4395.2999999999993</v>
      </c>
    </row>
    <row r="108" spans="1:8" x14ac:dyDescent="0.25">
      <c r="A108" s="30"/>
      <c r="B108" s="50"/>
      <c r="C108" s="50" t="s">
        <v>107</v>
      </c>
      <c r="D108" s="77" t="s">
        <v>108</v>
      </c>
      <c r="E108" s="32"/>
      <c r="F108" s="33"/>
      <c r="G108" s="34"/>
      <c r="H108" s="29">
        <f>SUM(H104:H107)*0.03</f>
        <v>1300.5602999999999</v>
      </c>
    </row>
    <row r="109" spans="1:8" x14ac:dyDescent="0.25">
      <c r="A109" s="41" t="s">
        <v>30</v>
      </c>
      <c r="B109" s="42" t="s">
        <v>31</v>
      </c>
      <c r="C109" s="43"/>
      <c r="D109" s="44"/>
      <c r="E109" s="45" t="s">
        <v>20</v>
      </c>
      <c r="F109" s="46">
        <f>F101</f>
        <v>59.8</v>
      </c>
      <c r="G109" s="46">
        <f>ROUND((H110+H111)/F109,2)</f>
        <v>476.07</v>
      </c>
      <c r="H109" s="58">
        <f>ROUND(G109*F109,2)</f>
        <v>28468.99</v>
      </c>
    </row>
    <row r="110" spans="1:8" x14ac:dyDescent="0.25">
      <c r="A110" s="24"/>
      <c r="B110" s="47" t="s">
        <v>21</v>
      </c>
      <c r="C110" s="25"/>
      <c r="D110" s="26"/>
      <c r="E110" s="27" t="s">
        <v>20</v>
      </c>
      <c r="F110" s="28">
        <f>F109</f>
        <v>59.8</v>
      </c>
      <c r="G110" s="27">
        <v>350</v>
      </c>
      <c r="H110" s="29">
        <f>G110*F110</f>
        <v>20930</v>
      </c>
    </row>
    <row r="111" spans="1:8" x14ac:dyDescent="0.25">
      <c r="A111" s="24"/>
      <c r="B111" s="48" t="s">
        <v>22</v>
      </c>
      <c r="C111" s="25"/>
      <c r="D111" s="26"/>
      <c r="E111" s="49"/>
      <c r="F111" s="28"/>
      <c r="G111" s="27">
        <f>H111/F109</f>
        <v>126.072</v>
      </c>
      <c r="H111" s="29">
        <f>SUM(H112:H114)</f>
        <v>7539.1055999999999</v>
      </c>
    </row>
    <row r="112" spans="1:8" x14ac:dyDescent="0.25">
      <c r="A112" s="24"/>
      <c r="B112" s="50"/>
      <c r="C112" s="53" t="s">
        <v>32</v>
      </c>
      <c r="D112" s="31">
        <v>5.5</v>
      </c>
      <c r="E112" s="32" t="s">
        <v>27</v>
      </c>
      <c r="F112" s="51">
        <f>(D112*F109)</f>
        <v>328.9</v>
      </c>
      <c r="G112" s="52">
        <f>360/25</f>
        <v>14.4</v>
      </c>
      <c r="H112" s="29">
        <f t="shared" ref="H112:H113" si="13">G112*F112</f>
        <v>4736.16</v>
      </c>
    </row>
    <row r="113" spans="1:8" ht="25.5" x14ac:dyDescent="0.25">
      <c r="A113" s="24"/>
      <c r="B113" s="50"/>
      <c r="C113" s="50" t="s">
        <v>33</v>
      </c>
      <c r="D113" s="31">
        <v>1.2</v>
      </c>
      <c r="E113" s="32" t="s">
        <v>20</v>
      </c>
      <c r="F113" s="51">
        <f>(D113*F109)</f>
        <v>71.759999999999991</v>
      </c>
      <c r="G113" s="52">
        <f>1800/50</f>
        <v>36</v>
      </c>
      <c r="H113" s="29">
        <f t="shared" si="13"/>
        <v>2583.3599999999997</v>
      </c>
    </row>
    <row r="114" spans="1:8" x14ac:dyDescent="0.25">
      <c r="A114" s="30"/>
      <c r="B114" s="50"/>
      <c r="C114" s="50" t="s">
        <v>107</v>
      </c>
      <c r="D114" s="77" t="s">
        <v>108</v>
      </c>
      <c r="E114" s="32"/>
      <c r="F114" s="33"/>
      <c r="G114" s="34"/>
      <c r="H114" s="29">
        <f>SUM(H112:H113)*0.03</f>
        <v>219.58559999999997</v>
      </c>
    </row>
    <row r="115" spans="1:8" x14ac:dyDescent="0.25">
      <c r="A115" s="41" t="s">
        <v>36</v>
      </c>
      <c r="B115" s="42" t="s">
        <v>37</v>
      </c>
      <c r="C115" s="43"/>
      <c r="D115" s="44"/>
      <c r="E115" s="45" t="s">
        <v>20</v>
      </c>
      <c r="F115" s="46">
        <f>F101</f>
        <v>59.8</v>
      </c>
      <c r="G115" s="46">
        <f>ROUND((H116+H117)/F115,2)</f>
        <v>573.15</v>
      </c>
      <c r="H115" s="58">
        <f>ROUND(G115*F115,2)</f>
        <v>34274.370000000003</v>
      </c>
    </row>
    <row r="116" spans="1:8" x14ac:dyDescent="0.25">
      <c r="A116" s="24"/>
      <c r="B116" s="47" t="s">
        <v>21</v>
      </c>
      <c r="C116" s="25"/>
      <c r="D116" s="26"/>
      <c r="E116" s="27" t="s">
        <v>20</v>
      </c>
      <c r="F116" s="28">
        <f>F115</f>
        <v>59.8</v>
      </c>
      <c r="G116" s="27">
        <v>350</v>
      </c>
      <c r="H116" s="29">
        <f>G116*F116</f>
        <v>20930</v>
      </c>
    </row>
    <row r="117" spans="1:8" x14ac:dyDescent="0.25">
      <c r="A117" s="24"/>
      <c r="B117" s="48" t="s">
        <v>22</v>
      </c>
      <c r="C117" s="25"/>
      <c r="D117" s="26"/>
      <c r="E117" s="49"/>
      <c r="F117" s="28"/>
      <c r="G117" s="27">
        <f>H117/F115</f>
        <v>223.14949999999996</v>
      </c>
      <c r="H117" s="29">
        <f>SUM(H118:H120)</f>
        <v>13344.340099999998</v>
      </c>
    </row>
    <row r="118" spans="1:8" ht="25.5" x14ac:dyDescent="0.25">
      <c r="A118" s="24"/>
      <c r="B118" s="50"/>
      <c r="C118" s="50" t="s">
        <v>38</v>
      </c>
      <c r="D118" s="31">
        <v>0.2</v>
      </c>
      <c r="E118" s="32" t="s">
        <v>24</v>
      </c>
      <c r="F118" s="51">
        <f>(D118*F115)</f>
        <v>11.96</v>
      </c>
      <c r="G118" s="52">
        <f>820/10</f>
        <v>82</v>
      </c>
      <c r="H118" s="29">
        <f t="shared" ref="H118:H119" si="14">G118*F118</f>
        <v>980.72</v>
      </c>
    </row>
    <row r="119" spans="1:8" ht="25.5" x14ac:dyDescent="0.25">
      <c r="A119" s="24"/>
      <c r="B119" s="50"/>
      <c r="C119" s="53" t="s">
        <v>101</v>
      </c>
      <c r="D119" s="31">
        <v>3</v>
      </c>
      <c r="E119" s="32" t="s">
        <v>27</v>
      </c>
      <c r="F119" s="51">
        <f>(F115*D119)</f>
        <v>179.39999999999998</v>
      </c>
      <c r="G119" s="52">
        <f>1068/16</f>
        <v>66.75</v>
      </c>
      <c r="H119" s="29">
        <f t="shared" si="14"/>
        <v>11974.949999999999</v>
      </c>
    </row>
    <row r="120" spans="1:8" x14ac:dyDescent="0.25">
      <c r="A120" s="30"/>
      <c r="B120" s="50"/>
      <c r="C120" s="50" t="s">
        <v>107</v>
      </c>
      <c r="D120" s="77" t="s">
        <v>108</v>
      </c>
      <c r="E120" s="32"/>
      <c r="F120" s="33"/>
      <c r="G120" s="34"/>
      <c r="H120" s="29">
        <f>SUM(H118:H119)*0.03</f>
        <v>388.67009999999993</v>
      </c>
    </row>
    <row r="121" spans="1:8" x14ac:dyDescent="0.25">
      <c r="A121" s="35">
        <v>1</v>
      </c>
      <c r="B121" s="36" t="s">
        <v>118</v>
      </c>
      <c r="C121" s="36"/>
      <c r="D121" s="37"/>
      <c r="E121" s="38"/>
      <c r="F121" s="39"/>
      <c r="G121" s="40"/>
      <c r="H121" s="40">
        <f>H122+H130+H136</f>
        <v>57225.159999999996</v>
      </c>
    </row>
    <row r="122" spans="1:8" x14ac:dyDescent="0.25">
      <c r="A122" s="41" t="s">
        <v>19</v>
      </c>
      <c r="B122" s="42" t="s">
        <v>114</v>
      </c>
      <c r="C122" s="43"/>
      <c r="D122" s="44"/>
      <c r="E122" s="45" t="s">
        <v>20</v>
      </c>
      <c r="F122" s="46">
        <v>27.7</v>
      </c>
      <c r="G122" s="46">
        <f>ROUND((H123+H124)/F122,2)</f>
        <v>1016.67</v>
      </c>
      <c r="H122" s="58">
        <f>ROUND(G122*F122,2)</f>
        <v>28161.759999999998</v>
      </c>
    </row>
    <row r="123" spans="1:8" x14ac:dyDescent="0.25">
      <c r="A123" s="24"/>
      <c r="B123" s="47" t="s">
        <v>21</v>
      </c>
      <c r="C123" s="25"/>
      <c r="D123" s="26"/>
      <c r="E123" s="27" t="s">
        <v>20</v>
      </c>
      <c r="F123" s="28">
        <f>F122</f>
        <v>27.7</v>
      </c>
      <c r="G123" s="27">
        <v>350</v>
      </c>
      <c r="H123" s="29">
        <f>G123*F123</f>
        <v>9695</v>
      </c>
    </row>
    <row r="124" spans="1:8" x14ac:dyDescent="0.25">
      <c r="A124" s="24"/>
      <c r="B124" s="48" t="s">
        <v>22</v>
      </c>
      <c r="C124" s="25"/>
      <c r="D124" s="26"/>
      <c r="E124" s="49"/>
      <c r="F124" s="28"/>
      <c r="G124" s="27">
        <f>H124/F122</f>
        <v>666.66750000000002</v>
      </c>
      <c r="H124" s="29">
        <f>SUM(H125:H129)</f>
        <v>18466.689750000001</v>
      </c>
    </row>
    <row r="125" spans="1:8" ht="25.5" x14ac:dyDescent="0.25">
      <c r="A125" s="24"/>
      <c r="B125" s="50"/>
      <c r="C125" s="50" t="s">
        <v>23</v>
      </c>
      <c r="D125" s="31">
        <v>0.15</v>
      </c>
      <c r="E125" s="32" t="s">
        <v>24</v>
      </c>
      <c r="F125" s="51">
        <f>(D125*F122)</f>
        <v>4.1549999999999994</v>
      </c>
      <c r="G125" s="52">
        <f>2100/50</f>
        <v>42</v>
      </c>
      <c r="H125" s="29">
        <f t="shared" ref="H125:H128" si="15">G125*F125</f>
        <v>174.50999999999996</v>
      </c>
    </row>
    <row r="126" spans="1:8" ht="25.5" x14ac:dyDescent="0.25">
      <c r="A126" s="24"/>
      <c r="B126" s="50"/>
      <c r="C126" s="53" t="s">
        <v>115</v>
      </c>
      <c r="D126" s="31">
        <f>0.13*1.05</f>
        <v>0.13650000000000001</v>
      </c>
      <c r="E126" s="32" t="s">
        <v>25</v>
      </c>
      <c r="F126" s="51">
        <f>D126*F122</f>
        <v>3.78105</v>
      </c>
      <c r="G126" s="52">
        <v>3700</v>
      </c>
      <c r="H126" s="29">
        <f t="shared" si="15"/>
        <v>13989.885</v>
      </c>
    </row>
    <row r="127" spans="1:8" x14ac:dyDescent="0.25">
      <c r="A127" s="24"/>
      <c r="B127" s="50"/>
      <c r="C127" s="50" t="s">
        <v>26</v>
      </c>
      <c r="D127" s="31">
        <v>6</v>
      </c>
      <c r="E127" s="32" t="s">
        <v>27</v>
      </c>
      <c r="F127" s="51">
        <f>(D127*F122)</f>
        <v>166.2</v>
      </c>
      <c r="G127" s="52">
        <f>260/25</f>
        <v>10.4</v>
      </c>
      <c r="H127" s="29">
        <f t="shared" si="15"/>
        <v>1728.48</v>
      </c>
    </row>
    <row r="128" spans="1:8" x14ac:dyDescent="0.25">
      <c r="A128" s="24"/>
      <c r="B128" s="50"/>
      <c r="C128" s="50" t="s">
        <v>28</v>
      </c>
      <c r="D128" s="31">
        <v>7</v>
      </c>
      <c r="E128" s="32" t="s">
        <v>29</v>
      </c>
      <c r="F128" s="51">
        <f>D128*F122</f>
        <v>193.9</v>
      </c>
      <c r="G128" s="52">
        <v>10.5</v>
      </c>
      <c r="H128" s="29">
        <f t="shared" si="15"/>
        <v>2035.95</v>
      </c>
    </row>
    <row r="129" spans="1:8" x14ac:dyDescent="0.25">
      <c r="A129" s="30"/>
      <c r="B129" s="50"/>
      <c r="C129" s="50" t="s">
        <v>107</v>
      </c>
      <c r="D129" s="77" t="s">
        <v>108</v>
      </c>
      <c r="E129" s="32"/>
      <c r="F129" s="33"/>
      <c r="G129" s="34"/>
      <c r="H129" s="29">
        <f>SUM(H125:H128)*0.03</f>
        <v>537.86474999999996</v>
      </c>
    </row>
    <row r="130" spans="1:8" x14ac:dyDescent="0.25">
      <c r="A130" s="41" t="s">
        <v>30</v>
      </c>
      <c r="B130" s="42" t="s">
        <v>31</v>
      </c>
      <c r="C130" s="43"/>
      <c r="D130" s="44"/>
      <c r="E130" s="45" t="s">
        <v>20</v>
      </c>
      <c r="F130" s="46">
        <f>F122</f>
        <v>27.7</v>
      </c>
      <c r="G130" s="46">
        <f>ROUND((H131+H132)/F130,2)</f>
        <v>476.07</v>
      </c>
      <c r="H130" s="58">
        <f>ROUND(G130*F130,2)</f>
        <v>13187.14</v>
      </c>
    </row>
    <row r="131" spans="1:8" x14ac:dyDescent="0.25">
      <c r="A131" s="24"/>
      <c r="B131" s="47" t="s">
        <v>21</v>
      </c>
      <c r="C131" s="25"/>
      <c r="D131" s="26"/>
      <c r="E131" s="27" t="s">
        <v>20</v>
      </c>
      <c r="F131" s="28">
        <f>F130</f>
        <v>27.7</v>
      </c>
      <c r="G131" s="27">
        <v>350</v>
      </c>
      <c r="H131" s="29">
        <f>G131*F131</f>
        <v>9695</v>
      </c>
    </row>
    <row r="132" spans="1:8" x14ac:dyDescent="0.25">
      <c r="A132" s="24"/>
      <c r="B132" s="48" t="s">
        <v>22</v>
      </c>
      <c r="C132" s="25"/>
      <c r="D132" s="26"/>
      <c r="E132" s="49"/>
      <c r="F132" s="28"/>
      <c r="G132" s="27">
        <f>H132/F130</f>
        <v>126.072</v>
      </c>
      <c r="H132" s="29">
        <f>SUM(H133:H135)</f>
        <v>3492.1943999999999</v>
      </c>
    </row>
    <row r="133" spans="1:8" x14ac:dyDescent="0.25">
      <c r="A133" s="24"/>
      <c r="B133" s="50"/>
      <c r="C133" s="53" t="s">
        <v>32</v>
      </c>
      <c r="D133" s="31">
        <v>5.5</v>
      </c>
      <c r="E133" s="32" t="s">
        <v>27</v>
      </c>
      <c r="F133" s="51">
        <f>(D133*F130)</f>
        <v>152.35</v>
      </c>
      <c r="G133" s="52">
        <f>360/25</f>
        <v>14.4</v>
      </c>
      <c r="H133" s="29">
        <f t="shared" ref="H133:H134" si="16">G133*F133</f>
        <v>2193.84</v>
      </c>
    </row>
    <row r="134" spans="1:8" ht="25.5" x14ac:dyDescent="0.25">
      <c r="A134" s="24"/>
      <c r="B134" s="50"/>
      <c r="C134" s="50" t="s">
        <v>33</v>
      </c>
      <c r="D134" s="31">
        <v>1.2</v>
      </c>
      <c r="E134" s="32" t="s">
        <v>20</v>
      </c>
      <c r="F134" s="51">
        <f>(D134*F130)</f>
        <v>33.239999999999995</v>
      </c>
      <c r="G134" s="52">
        <f>1800/50</f>
        <v>36</v>
      </c>
      <c r="H134" s="29">
        <f t="shared" si="16"/>
        <v>1196.6399999999999</v>
      </c>
    </row>
    <row r="135" spans="1:8" x14ac:dyDescent="0.25">
      <c r="A135" s="30"/>
      <c r="B135" s="50"/>
      <c r="C135" s="50" t="s">
        <v>107</v>
      </c>
      <c r="D135" s="77" t="s">
        <v>108</v>
      </c>
      <c r="E135" s="32"/>
      <c r="F135" s="33"/>
      <c r="G135" s="34"/>
      <c r="H135" s="29">
        <f>SUM(H133:H134)*0.03</f>
        <v>101.7144</v>
      </c>
    </row>
    <row r="136" spans="1:8" x14ac:dyDescent="0.25">
      <c r="A136" s="41" t="s">
        <v>36</v>
      </c>
      <c r="B136" s="42" t="s">
        <v>37</v>
      </c>
      <c r="C136" s="43"/>
      <c r="D136" s="44"/>
      <c r="E136" s="45" t="s">
        <v>20</v>
      </c>
      <c r="F136" s="46">
        <f>F122</f>
        <v>27.7</v>
      </c>
      <c r="G136" s="46">
        <f>ROUND((H137+H138)/F136,2)</f>
        <v>573.15</v>
      </c>
      <c r="H136" s="58">
        <f>ROUND(G136*F136,2)</f>
        <v>15876.26</v>
      </c>
    </row>
    <row r="137" spans="1:8" x14ac:dyDescent="0.25">
      <c r="A137" s="24"/>
      <c r="B137" s="47" t="s">
        <v>21</v>
      </c>
      <c r="C137" s="25"/>
      <c r="D137" s="26"/>
      <c r="E137" s="27" t="s">
        <v>20</v>
      </c>
      <c r="F137" s="28">
        <f>F136</f>
        <v>27.7</v>
      </c>
      <c r="G137" s="27">
        <v>350</v>
      </c>
      <c r="H137" s="29">
        <f>G137*F137</f>
        <v>9695</v>
      </c>
    </row>
    <row r="138" spans="1:8" x14ac:dyDescent="0.25">
      <c r="A138" s="24"/>
      <c r="B138" s="48" t="s">
        <v>22</v>
      </c>
      <c r="C138" s="25"/>
      <c r="D138" s="26"/>
      <c r="E138" s="49"/>
      <c r="F138" s="28"/>
      <c r="G138" s="27">
        <f>H138/F136</f>
        <v>223.14949999999996</v>
      </c>
      <c r="H138" s="29">
        <f>SUM(H139:H141)</f>
        <v>6181.2411499999989</v>
      </c>
    </row>
    <row r="139" spans="1:8" ht="25.5" x14ac:dyDescent="0.25">
      <c r="A139" s="24"/>
      <c r="B139" s="50"/>
      <c r="C139" s="50" t="s">
        <v>38</v>
      </c>
      <c r="D139" s="31">
        <v>0.2</v>
      </c>
      <c r="E139" s="32" t="s">
        <v>24</v>
      </c>
      <c r="F139" s="51">
        <f>(D139*F136)</f>
        <v>5.54</v>
      </c>
      <c r="G139" s="52">
        <f>820/10</f>
        <v>82</v>
      </c>
      <c r="H139" s="29">
        <f t="shared" ref="H139:H140" si="17">G139*F139</f>
        <v>454.28000000000003</v>
      </c>
    </row>
    <row r="140" spans="1:8" ht="25.5" x14ac:dyDescent="0.25">
      <c r="A140" s="24"/>
      <c r="B140" s="50"/>
      <c r="C140" s="53" t="s">
        <v>101</v>
      </c>
      <c r="D140" s="31">
        <v>3</v>
      </c>
      <c r="E140" s="32" t="s">
        <v>27</v>
      </c>
      <c r="F140" s="51">
        <f>(F136*D140)</f>
        <v>83.1</v>
      </c>
      <c r="G140" s="52">
        <f>1068/16</f>
        <v>66.75</v>
      </c>
      <c r="H140" s="29">
        <f t="shared" si="17"/>
        <v>5546.9249999999993</v>
      </c>
    </row>
    <row r="141" spans="1:8" x14ac:dyDescent="0.25">
      <c r="A141" s="30"/>
      <c r="B141" s="50"/>
      <c r="C141" s="50" t="s">
        <v>107</v>
      </c>
      <c r="D141" s="77" t="s">
        <v>108</v>
      </c>
      <c r="E141" s="32"/>
      <c r="F141" s="33"/>
      <c r="G141" s="34"/>
      <c r="H141" s="29">
        <f>SUM(H139:H140)*0.03</f>
        <v>180.03614999999996</v>
      </c>
    </row>
    <row r="142" spans="1:8" x14ac:dyDescent="0.25">
      <c r="A142" s="35">
        <v>1</v>
      </c>
      <c r="B142" s="36" t="s">
        <v>119</v>
      </c>
      <c r="C142" s="36"/>
      <c r="D142" s="37"/>
      <c r="E142" s="38"/>
      <c r="F142" s="39"/>
      <c r="G142" s="40"/>
      <c r="H142" s="40">
        <f>H143+H151+H157</f>
        <v>3105367.77</v>
      </c>
    </row>
    <row r="143" spans="1:8" x14ac:dyDescent="0.25">
      <c r="A143" s="41" t="s">
        <v>19</v>
      </c>
      <c r="B143" s="42" t="s">
        <v>114</v>
      </c>
      <c r="C143" s="43"/>
      <c r="D143" s="44"/>
      <c r="E143" s="45" t="s">
        <v>20</v>
      </c>
      <c r="F143" s="46">
        <v>1378.3</v>
      </c>
      <c r="G143" s="46">
        <f>ROUND((H144+H145)/F143,2)</f>
        <v>1096.7</v>
      </c>
      <c r="H143" s="58">
        <f>ROUND(G143*F143,2)</f>
        <v>1511581.61</v>
      </c>
    </row>
    <row r="144" spans="1:8" x14ac:dyDescent="0.25">
      <c r="A144" s="24"/>
      <c r="B144" s="47" t="s">
        <v>21</v>
      </c>
      <c r="C144" s="25"/>
      <c r="D144" s="26"/>
      <c r="E144" s="27" t="s">
        <v>20</v>
      </c>
      <c r="F144" s="28">
        <f>F143</f>
        <v>1378.3</v>
      </c>
      <c r="G144" s="27">
        <v>350</v>
      </c>
      <c r="H144" s="29">
        <f>G144*F144</f>
        <v>482405</v>
      </c>
    </row>
    <row r="145" spans="1:8" x14ac:dyDescent="0.25">
      <c r="A145" s="24"/>
      <c r="B145" s="48" t="s">
        <v>22</v>
      </c>
      <c r="C145" s="25"/>
      <c r="D145" s="26"/>
      <c r="E145" s="49"/>
      <c r="F145" s="28"/>
      <c r="G145" s="27">
        <f>H145/F143</f>
        <v>746.69850000000008</v>
      </c>
      <c r="H145" s="29">
        <f>SUM(H146:H150)</f>
        <v>1029174.5425500001</v>
      </c>
    </row>
    <row r="146" spans="1:8" ht="25.5" x14ac:dyDescent="0.25">
      <c r="A146" s="24"/>
      <c r="B146" s="50"/>
      <c r="C146" s="50" t="s">
        <v>23</v>
      </c>
      <c r="D146" s="31">
        <v>0.15</v>
      </c>
      <c r="E146" s="32" t="s">
        <v>24</v>
      </c>
      <c r="F146" s="51">
        <f>(D146*F143)</f>
        <v>206.74499999999998</v>
      </c>
      <c r="G146" s="52">
        <f>2100/50</f>
        <v>42</v>
      </c>
      <c r="H146" s="29">
        <f t="shared" ref="H146:H149" si="18">G146*F146</f>
        <v>8683.2899999999991</v>
      </c>
    </row>
    <row r="147" spans="1:8" ht="25.5" x14ac:dyDescent="0.25">
      <c r="A147" s="24"/>
      <c r="B147" s="50"/>
      <c r="C147" s="53" t="s">
        <v>106</v>
      </c>
      <c r="D147" s="31">
        <f>0.15*1.05</f>
        <v>0.1575</v>
      </c>
      <c r="E147" s="32" t="s">
        <v>25</v>
      </c>
      <c r="F147" s="51">
        <f>D147*F143</f>
        <v>217.08224999999999</v>
      </c>
      <c r="G147" s="52">
        <v>3700</v>
      </c>
      <c r="H147" s="29">
        <f t="shared" si="18"/>
        <v>803204.32499999995</v>
      </c>
    </row>
    <row r="148" spans="1:8" x14ac:dyDescent="0.25">
      <c r="A148" s="24"/>
      <c r="B148" s="50"/>
      <c r="C148" s="50" t="s">
        <v>26</v>
      </c>
      <c r="D148" s="31">
        <v>6</v>
      </c>
      <c r="E148" s="32" t="s">
        <v>27</v>
      </c>
      <c r="F148" s="51">
        <f>(D148*F143)</f>
        <v>8269.7999999999993</v>
      </c>
      <c r="G148" s="52">
        <f>260/25</f>
        <v>10.4</v>
      </c>
      <c r="H148" s="29">
        <f t="shared" si="18"/>
        <v>86005.92</v>
      </c>
    </row>
    <row r="149" spans="1:8" x14ac:dyDescent="0.25">
      <c r="A149" s="24"/>
      <c r="B149" s="50"/>
      <c r="C149" s="50" t="s">
        <v>28</v>
      </c>
      <c r="D149" s="31">
        <v>7</v>
      </c>
      <c r="E149" s="32" t="s">
        <v>29</v>
      </c>
      <c r="F149" s="51">
        <f>D149*F143</f>
        <v>9648.1</v>
      </c>
      <c r="G149" s="52">
        <v>10.5</v>
      </c>
      <c r="H149" s="29">
        <f t="shared" si="18"/>
        <v>101305.05</v>
      </c>
    </row>
    <row r="150" spans="1:8" x14ac:dyDescent="0.25">
      <c r="A150" s="30"/>
      <c r="B150" s="50"/>
      <c r="C150" s="50" t="s">
        <v>107</v>
      </c>
      <c r="D150" s="77" t="s">
        <v>108</v>
      </c>
      <c r="E150" s="32"/>
      <c r="F150" s="33"/>
      <c r="G150" s="34"/>
      <c r="H150" s="29">
        <f>SUM(H146:H149)*0.03</f>
        <v>29975.957550000003</v>
      </c>
    </row>
    <row r="151" spans="1:8" x14ac:dyDescent="0.25">
      <c r="A151" s="41" t="s">
        <v>30</v>
      </c>
      <c r="B151" s="42" t="s">
        <v>31</v>
      </c>
      <c r="C151" s="43"/>
      <c r="D151" s="44"/>
      <c r="E151" s="45" t="s">
        <v>20</v>
      </c>
      <c r="F151" s="46">
        <f>F143+140.72</f>
        <v>1519.02</v>
      </c>
      <c r="G151" s="46">
        <f>ROUND((H152+H153)/F151,2)</f>
        <v>476.07</v>
      </c>
      <c r="H151" s="58">
        <f>ROUND(G151*F151,2)</f>
        <v>723159.85</v>
      </c>
    </row>
    <row r="152" spans="1:8" x14ac:dyDescent="0.25">
      <c r="A152" s="24"/>
      <c r="B152" s="47" t="s">
        <v>21</v>
      </c>
      <c r="C152" s="25"/>
      <c r="D152" s="26"/>
      <c r="E152" s="27" t="s">
        <v>20</v>
      </c>
      <c r="F152" s="28">
        <f>F151</f>
        <v>1519.02</v>
      </c>
      <c r="G152" s="27">
        <v>350</v>
      </c>
      <c r="H152" s="29">
        <f>G152*F152</f>
        <v>531657</v>
      </c>
    </row>
    <row r="153" spans="1:8" x14ac:dyDescent="0.25">
      <c r="A153" s="24"/>
      <c r="B153" s="48" t="s">
        <v>22</v>
      </c>
      <c r="C153" s="25"/>
      <c r="D153" s="26"/>
      <c r="E153" s="49"/>
      <c r="F153" s="28"/>
      <c r="G153" s="27">
        <f>H153/F151</f>
        <v>126.072</v>
      </c>
      <c r="H153" s="29">
        <f>SUM(H154:H156)</f>
        <v>191505.88944</v>
      </c>
    </row>
    <row r="154" spans="1:8" x14ac:dyDescent="0.25">
      <c r="A154" s="24"/>
      <c r="B154" s="50"/>
      <c r="C154" s="53" t="s">
        <v>32</v>
      </c>
      <c r="D154" s="31">
        <v>5.5</v>
      </c>
      <c r="E154" s="32" t="s">
        <v>27</v>
      </c>
      <c r="F154" s="51">
        <f>(D154*F151)</f>
        <v>8354.61</v>
      </c>
      <c r="G154" s="52">
        <f>360/25</f>
        <v>14.4</v>
      </c>
      <c r="H154" s="29">
        <f t="shared" ref="H154:H155" si="19">G154*F154</f>
        <v>120306.38400000001</v>
      </c>
    </row>
    <row r="155" spans="1:8" ht="25.5" x14ac:dyDescent="0.25">
      <c r="A155" s="24"/>
      <c r="B155" s="50"/>
      <c r="C155" s="50" t="s">
        <v>33</v>
      </c>
      <c r="D155" s="31">
        <v>1.2</v>
      </c>
      <c r="E155" s="32" t="s">
        <v>20</v>
      </c>
      <c r="F155" s="51">
        <f>(D155*F151)</f>
        <v>1822.8239999999998</v>
      </c>
      <c r="G155" s="52">
        <f>1800/50</f>
        <v>36</v>
      </c>
      <c r="H155" s="29">
        <f t="shared" si="19"/>
        <v>65621.66399999999</v>
      </c>
    </row>
    <row r="156" spans="1:8" x14ac:dyDescent="0.25">
      <c r="A156" s="30"/>
      <c r="B156" s="50"/>
      <c r="C156" s="50" t="s">
        <v>107</v>
      </c>
      <c r="D156" s="77" t="s">
        <v>108</v>
      </c>
      <c r="E156" s="32"/>
      <c r="F156" s="33"/>
      <c r="G156" s="34"/>
      <c r="H156" s="29">
        <f>SUM(H154:H155)*0.03</f>
        <v>5577.8414400000001</v>
      </c>
    </row>
    <row r="157" spans="1:8" x14ac:dyDescent="0.25">
      <c r="A157" s="41" t="s">
        <v>36</v>
      </c>
      <c r="B157" s="42" t="s">
        <v>37</v>
      </c>
      <c r="C157" s="43"/>
      <c r="D157" s="44"/>
      <c r="E157" s="45" t="s">
        <v>20</v>
      </c>
      <c r="F157" s="46">
        <f>F143+140.72</f>
        <v>1519.02</v>
      </c>
      <c r="G157" s="46">
        <f>ROUND((H158+H159)/F157,2)</f>
        <v>573.15</v>
      </c>
      <c r="H157" s="58">
        <f>ROUND(G157*F157,2)</f>
        <v>870626.31</v>
      </c>
    </row>
    <row r="158" spans="1:8" x14ac:dyDescent="0.25">
      <c r="A158" s="24"/>
      <c r="B158" s="47" t="s">
        <v>21</v>
      </c>
      <c r="C158" s="25"/>
      <c r="D158" s="26"/>
      <c r="E158" s="27" t="s">
        <v>20</v>
      </c>
      <c r="F158" s="28">
        <f>F157</f>
        <v>1519.02</v>
      </c>
      <c r="G158" s="27">
        <v>350</v>
      </c>
      <c r="H158" s="29">
        <f>G158*F158</f>
        <v>531657</v>
      </c>
    </row>
    <row r="159" spans="1:8" x14ac:dyDescent="0.25">
      <c r="A159" s="24"/>
      <c r="B159" s="48" t="s">
        <v>22</v>
      </c>
      <c r="C159" s="25"/>
      <c r="D159" s="26"/>
      <c r="E159" s="49"/>
      <c r="F159" s="28"/>
      <c r="G159" s="27">
        <f>H159/F157</f>
        <v>223.14949999999999</v>
      </c>
      <c r="H159" s="29">
        <f>SUM(H160:H162)</f>
        <v>338968.55348999996</v>
      </c>
    </row>
    <row r="160" spans="1:8" ht="25.5" x14ac:dyDescent="0.25">
      <c r="A160" s="24"/>
      <c r="B160" s="50"/>
      <c r="C160" s="50" t="s">
        <v>38</v>
      </c>
      <c r="D160" s="31">
        <v>0.2</v>
      </c>
      <c r="E160" s="32" t="s">
        <v>24</v>
      </c>
      <c r="F160" s="51">
        <f>(D160*F157)</f>
        <v>303.80400000000003</v>
      </c>
      <c r="G160" s="52">
        <f>820/10</f>
        <v>82</v>
      </c>
      <c r="H160" s="29">
        <f t="shared" ref="H160:H161" si="20">G160*F160</f>
        <v>24911.928000000004</v>
      </c>
    </row>
    <row r="161" spans="1:8" ht="25.5" x14ac:dyDescent="0.25">
      <c r="A161" s="24"/>
      <c r="B161" s="50"/>
      <c r="C161" s="53" t="s">
        <v>101</v>
      </c>
      <c r="D161" s="31">
        <v>3</v>
      </c>
      <c r="E161" s="32" t="s">
        <v>27</v>
      </c>
      <c r="F161" s="51">
        <f>(F157*D161)</f>
        <v>4557.0599999999995</v>
      </c>
      <c r="G161" s="52">
        <f>1068/16</f>
        <v>66.75</v>
      </c>
      <c r="H161" s="29">
        <f t="shared" si="20"/>
        <v>304183.75499999995</v>
      </c>
    </row>
    <row r="162" spans="1:8" x14ac:dyDescent="0.25">
      <c r="A162" s="30"/>
      <c r="B162" s="50"/>
      <c r="C162" s="50" t="s">
        <v>107</v>
      </c>
      <c r="D162" s="77" t="s">
        <v>108</v>
      </c>
      <c r="E162" s="32"/>
      <c r="F162" s="33"/>
      <c r="G162" s="34"/>
      <c r="H162" s="29">
        <f>SUM(H160:H161)*0.03</f>
        <v>9872.8704899999993</v>
      </c>
    </row>
    <row r="163" spans="1:8" x14ac:dyDescent="0.25">
      <c r="A163" s="35">
        <v>1</v>
      </c>
      <c r="B163" s="36" t="s">
        <v>119</v>
      </c>
      <c r="C163" s="36"/>
      <c r="D163" s="37"/>
      <c r="E163" s="38"/>
      <c r="F163" s="39"/>
      <c r="G163" s="40"/>
      <c r="H163" s="40">
        <f>H164+H172+H178</f>
        <v>1221792.94</v>
      </c>
    </row>
    <row r="164" spans="1:8" x14ac:dyDescent="0.25">
      <c r="A164" s="41" t="s">
        <v>19</v>
      </c>
      <c r="B164" s="42" t="s">
        <v>114</v>
      </c>
      <c r="C164" s="43"/>
      <c r="D164" s="44"/>
      <c r="E164" s="45" t="s">
        <v>20</v>
      </c>
      <c r="F164" s="46">
        <v>627.9</v>
      </c>
      <c r="G164" s="46">
        <f>ROUND((H165+H166)/F164,2)</f>
        <v>896.62</v>
      </c>
      <c r="H164" s="58">
        <f>ROUND(G164*F164,2)</f>
        <v>562987.69999999995</v>
      </c>
    </row>
    <row r="165" spans="1:8" x14ac:dyDescent="0.25">
      <c r="A165" s="24"/>
      <c r="B165" s="47" t="s">
        <v>21</v>
      </c>
      <c r="C165" s="25"/>
      <c r="D165" s="26"/>
      <c r="E165" s="27" t="s">
        <v>20</v>
      </c>
      <c r="F165" s="28">
        <f>F164</f>
        <v>627.9</v>
      </c>
      <c r="G165" s="27">
        <v>350</v>
      </c>
      <c r="H165" s="29">
        <f>G165*F165</f>
        <v>219765</v>
      </c>
    </row>
    <row r="166" spans="1:8" x14ac:dyDescent="0.25">
      <c r="A166" s="24"/>
      <c r="B166" s="48" t="s">
        <v>22</v>
      </c>
      <c r="C166" s="25"/>
      <c r="D166" s="26"/>
      <c r="E166" s="49"/>
      <c r="F166" s="28"/>
      <c r="G166" s="27">
        <f>H166/F164</f>
        <v>546.62100000000009</v>
      </c>
      <c r="H166" s="29">
        <f>SUM(H167:H171)</f>
        <v>343223.32590000005</v>
      </c>
    </row>
    <row r="167" spans="1:8" ht="25.5" x14ac:dyDescent="0.25">
      <c r="A167" s="24"/>
      <c r="B167" s="50"/>
      <c r="C167" s="50" t="s">
        <v>23</v>
      </c>
      <c r="D167" s="31">
        <v>0.15</v>
      </c>
      <c r="E167" s="32" t="s">
        <v>24</v>
      </c>
      <c r="F167" s="51">
        <f>(D167*F164)</f>
        <v>94.184999999999988</v>
      </c>
      <c r="G167" s="52">
        <f>2100/50</f>
        <v>42</v>
      </c>
      <c r="H167" s="29">
        <f t="shared" ref="H167:H170" si="21">G167*F167</f>
        <v>3955.7699999999995</v>
      </c>
    </row>
    <row r="168" spans="1:8" ht="25.5" x14ac:dyDescent="0.25">
      <c r="A168" s="24"/>
      <c r="B168" s="50"/>
      <c r="C168" s="53" t="s">
        <v>120</v>
      </c>
      <c r="D168" s="31">
        <f>0.1*1.05</f>
        <v>0.10500000000000001</v>
      </c>
      <c r="E168" s="32" t="s">
        <v>25</v>
      </c>
      <c r="F168" s="51">
        <f>D168*F164</f>
        <v>65.929500000000004</v>
      </c>
      <c r="G168" s="52">
        <v>3700</v>
      </c>
      <c r="H168" s="29">
        <f t="shared" si="21"/>
        <v>243939.15000000002</v>
      </c>
    </row>
    <row r="169" spans="1:8" x14ac:dyDescent="0.25">
      <c r="A169" s="24"/>
      <c r="B169" s="50"/>
      <c r="C169" s="50" t="s">
        <v>26</v>
      </c>
      <c r="D169" s="31">
        <v>6</v>
      </c>
      <c r="E169" s="32" t="s">
        <v>27</v>
      </c>
      <c r="F169" s="51">
        <f>(D169*F164)</f>
        <v>3767.3999999999996</v>
      </c>
      <c r="G169" s="52">
        <f>260/25</f>
        <v>10.4</v>
      </c>
      <c r="H169" s="29">
        <f t="shared" si="21"/>
        <v>39180.959999999999</v>
      </c>
    </row>
    <row r="170" spans="1:8" x14ac:dyDescent="0.25">
      <c r="A170" s="24"/>
      <c r="B170" s="50"/>
      <c r="C170" s="50" t="s">
        <v>28</v>
      </c>
      <c r="D170" s="31">
        <v>7</v>
      </c>
      <c r="E170" s="32" t="s">
        <v>29</v>
      </c>
      <c r="F170" s="51">
        <f>D170*F164</f>
        <v>4395.3</v>
      </c>
      <c r="G170" s="52">
        <v>10.5</v>
      </c>
      <c r="H170" s="29">
        <f t="shared" si="21"/>
        <v>46150.65</v>
      </c>
    </row>
    <row r="171" spans="1:8" x14ac:dyDescent="0.25">
      <c r="A171" s="30"/>
      <c r="B171" s="50"/>
      <c r="C171" s="50" t="s">
        <v>107</v>
      </c>
      <c r="D171" s="77" t="s">
        <v>108</v>
      </c>
      <c r="E171" s="32"/>
      <c r="F171" s="33"/>
      <c r="G171" s="34"/>
      <c r="H171" s="29">
        <f>SUM(H167:H170)*0.03</f>
        <v>9996.795900000001</v>
      </c>
    </row>
    <row r="172" spans="1:8" x14ac:dyDescent="0.25">
      <c r="A172" s="41" t="s">
        <v>30</v>
      </c>
      <c r="B172" s="42" t="s">
        <v>31</v>
      </c>
      <c r="C172" s="43"/>
      <c r="D172" s="44"/>
      <c r="E172" s="45" t="s">
        <v>20</v>
      </c>
      <c r="F172" s="46">
        <f>F164</f>
        <v>627.9</v>
      </c>
      <c r="G172" s="46">
        <f>ROUND((H173+H174)/F172,2)</f>
        <v>476.07</v>
      </c>
      <c r="H172" s="58">
        <f>ROUND(G172*F172,2)</f>
        <v>298924.34999999998</v>
      </c>
    </row>
    <row r="173" spans="1:8" x14ac:dyDescent="0.25">
      <c r="A173" s="24"/>
      <c r="B173" s="47" t="s">
        <v>21</v>
      </c>
      <c r="C173" s="25"/>
      <c r="D173" s="26"/>
      <c r="E173" s="27" t="s">
        <v>20</v>
      </c>
      <c r="F173" s="28">
        <f>F172</f>
        <v>627.9</v>
      </c>
      <c r="G173" s="27">
        <v>350</v>
      </c>
      <c r="H173" s="29">
        <f>G173*F173</f>
        <v>219765</v>
      </c>
    </row>
    <row r="174" spans="1:8" x14ac:dyDescent="0.25">
      <c r="A174" s="24"/>
      <c r="B174" s="48" t="s">
        <v>22</v>
      </c>
      <c r="C174" s="25"/>
      <c r="D174" s="26"/>
      <c r="E174" s="49"/>
      <c r="F174" s="28"/>
      <c r="G174" s="27">
        <f>H174/F172</f>
        <v>126.07199999999999</v>
      </c>
      <c r="H174" s="29">
        <f>SUM(H175:H177)</f>
        <v>79160.608799999987</v>
      </c>
    </row>
    <row r="175" spans="1:8" x14ac:dyDescent="0.25">
      <c r="A175" s="24"/>
      <c r="B175" s="50"/>
      <c r="C175" s="53" t="s">
        <v>32</v>
      </c>
      <c r="D175" s="31">
        <v>5.5</v>
      </c>
      <c r="E175" s="32" t="s">
        <v>27</v>
      </c>
      <c r="F175" s="51">
        <f>(D175*F172)</f>
        <v>3453.45</v>
      </c>
      <c r="G175" s="52">
        <f>360/25</f>
        <v>14.4</v>
      </c>
      <c r="H175" s="29">
        <f t="shared" ref="H175:H176" si="22">G175*F175</f>
        <v>49729.68</v>
      </c>
    </row>
    <row r="176" spans="1:8" ht="25.5" x14ac:dyDescent="0.25">
      <c r="A176" s="24"/>
      <c r="B176" s="50"/>
      <c r="C176" s="50" t="s">
        <v>33</v>
      </c>
      <c r="D176" s="31">
        <v>1.2</v>
      </c>
      <c r="E176" s="32" t="s">
        <v>20</v>
      </c>
      <c r="F176" s="51">
        <f>(D176*F172)</f>
        <v>753.4799999999999</v>
      </c>
      <c r="G176" s="52">
        <f>1800/50</f>
        <v>36</v>
      </c>
      <c r="H176" s="29">
        <f t="shared" si="22"/>
        <v>27125.279999999995</v>
      </c>
    </row>
    <row r="177" spans="1:8" x14ac:dyDescent="0.25">
      <c r="A177" s="30"/>
      <c r="B177" s="50"/>
      <c r="C177" s="50" t="s">
        <v>107</v>
      </c>
      <c r="D177" s="77" t="s">
        <v>108</v>
      </c>
      <c r="E177" s="32"/>
      <c r="F177" s="33"/>
      <c r="G177" s="34"/>
      <c r="H177" s="29">
        <f>SUM(H175:H176)*0.03</f>
        <v>2305.6487999999995</v>
      </c>
    </row>
    <row r="178" spans="1:8" x14ac:dyDescent="0.25">
      <c r="A178" s="41" t="s">
        <v>36</v>
      </c>
      <c r="B178" s="42" t="s">
        <v>37</v>
      </c>
      <c r="C178" s="43"/>
      <c r="D178" s="44"/>
      <c r="E178" s="45" t="s">
        <v>20</v>
      </c>
      <c r="F178" s="46">
        <f>F164</f>
        <v>627.9</v>
      </c>
      <c r="G178" s="46">
        <f>ROUND((H179+H180)/F178,2)</f>
        <v>573.15</v>
      </c>
      <c r="H178" s="58">
        <f>ROUND(G178*F178,2)</f>
        <v>359880.89</v>
      </c>
    </row>
    <row r="179" spans="1:8" x14ac:dyDescent="0.25">
      <c r="A179" s="24"/>
      <c r="B179" s="47" t="s">
        <v>21</v>
      </c>
      <c r="C179" s="25"/>
      <c r="D179" s="26"/>
      <c r="E179" s="27" t="s">
        <v>20</v>
      </c>
      <c r="F179" s="28">
        <f>F178</f>
        <v>627.9</v>
      </c>
      <c r="G179" s="27">
        <v>350</v>
      </c>
      <c r="H179" s="29">
        <f>G179*F179</f>
        <v>219765</v>
      </c>
    </row>
    <row r="180" spans="1:8" x14ac:dyDescent="0.25">
      <c r="A180" s="24"/>
      <c r="B180" s="48" t="s">
        <v>22</v>
      </c>
      <c r="C180" s="25"/>
      <c r="D180" s="26"/>
      <c r="E180" s="49"/>
      <c r="F180" s="28"/>
      <c r="G180" s="27">
        <f>H180/F178</f>
        <v>223.14950000000002</v>
      </c>
      <c r="H180" s="29">
        <f>SUM(H181:H183)</f>
        <v>140115.57105</v>
      </c>
    </row>
    <row r="181" spans="1:8" ht="25.5" x14ac:dyDescent="0.25">
      <c r="A181" s="24"/>
      <c r="B181" s="50"/>
      <c r="C181" s="50" t="s">
        <v>38</v>
      </c>
      <c r="D181" s="31">
        <v>0.2</v>
      </c>
      <c r="E181" s="32" t="s">
        <v>24</v>
      </c>
      <c r="F181" s="51">
        <f>(D181*F178)</f>
        <v>125.58</v>
      </c>
      <c r="G181" s="52">
        <f>820/10</f>
        <v>82</v>
      </c>
      <c r="H181" s="29">
        <f t="shared" ref="H181:H182" si="23">G181*F181</f>
        <v>10297.56</v>
      </c>
    </row>
    <row r="182" spans="1:8" ht="25.5" x14ac:dyDescent="0.25">
      <c r="A182" s="24"/>
      <c r="B182" s="50"/>
      <c r="C182" s="53" t="s">
        <v>101</v>
      </c>
      <c r="D182" s="31">
        <v>3</v>
      </c>
      <c r="E182" s="32" t="s">
        <v>27</v>
      </c>
      <c r="F182" s="51">
        <f>(F178*D182)</f>
        <v>1883.6999999999998</v>
      </c>
      <c r="G182" s="52">
        <f>1068/16</f>
        <v>66.75</v>
      </c>
      <c r="H182" s="29">
        <f t="shared" si="23"/>
        <v>125736.97499999999</v>
      </c>
    </row>
    <row r="183" spans="1:8" x14ac:dyDescent="0.25">
      <c r="A183" s="30"/>
      <c r="B183" s="50"/>
      <c r="C183" s="50" t="s">
        <v>107</v>
      </c>
      <c r="D183" s="77" t="s">
        <v>108</v>
      </c>
      <c r="E183" s="32"/>
      <c r="F183" s="33"/>
      <c r="G183" s="34"/>
      <c r="H183" s="29">
        <f>SUM(H181:H182)*0.03</f>
        <v>4081.0360500000002</v>
      </c>
    </row>
    <row r="184" spans="1:8" x14ac:dyDescent="0.25">
      <c r="A184" s="35">
        <v>1</v>
      </c>
      <c r="B184" s="36" t="s">
        <v>122</v>
      </c>
      <c r="C184" s="36"/>
      <c r="D184" s="37"/>
      <c r="E184" s="38"/>
      <c r="F184" s="39"/>
      <c r="G184" s="40"/>
      <c r="H184" s="40">
        <f>H185+H190+H196</f>
        <v>509286.01</v>
      </c>
    </row>
    <row r="185" spans="1:8" x14ac:dyDescent="0.25">
      <c r="A185" s="41" t="s">
        <v>19</v>
      </c>
      <c r="B185" s="42" t="s">
        <v>114</v>
      </c>
      <c r="C185" s="43"/>
      <c r="D185" s="44"/>
      <c r="E185" s="45" t="s">
        <v>20</v>
      </c>
      <c r="F185" s="46">
        <v>464.8</v>
      </c>
      <c r="G185" s="46">
        <f>ROUND((H186+H187)/F185,2)</f>
        <v>46.49</v>
      </c>
      <c r="H185" s="58">
        <f>ROUND(G185*F185,2)</f>
        <v>21608.55</v>
      </c>
    </row>
    <row r="186" spans="1:8" x14ac:dyDescent="0.25">
      <c r="A186" s="24"/>
      <c r="B186" s="47" t="s">
        <v>21</v>
      </c>
      <c r="C186" s="25"/>
      <c r="D186" s="26"/>
      <c r="E186" s="27" t="s">
        <v>20</v>
      </c>
      <c r="F186" s="28">
        <f>F185</f>
        <v>464.8</v>
      </c>
      <c r="G186" s="27">
        <v>40</v>
      </c>
      <c r="H186" s="29">
        <f>G186*F186</f>
        <v>18592</v>
      </c>
    </row>
    <row r="187" spans="1:8" x14ac:dyDescent="0.25">
      <c r="A187" s="24"/>
      <c r="B187" s="48" t="s">
        <v>22</v>
      </c>
      <c r="C187" s="25"/>
      <c r="D187" s="26"/>
      <c r="E187" s="49"/>
      <c r="F187" s="28"/>
      <c r="G187" s="27">
        <f>H187/F185</f>
        <v>6.4889999999999999</v>
      </c>
      <c r="H187" s="29">
        <f>SUM(H188:H189)</f>
        <v>3016.0871999999999</v>
      </c>
    </row>
    <row r="188" spans="1:8" ht="25.5" x14ac:dyDescent="0.25">
      <c r="A188" s="24"/>
      <c r="B188" s="50"/>
      <c r="C188" s="50" t="s">
        <v>23</v>
      </c>
      <c r="D188" s="31">
        <v>0.15</v>
      </c>
      <c r="E188" s="32" t="s">
        <v>24</v>
      </c>
      <c r="F188" s="51">
        <f>(D188*F185)</f>
        <v>69.72</v>
      </c>
      <c r="G188" s="52">
        <f>2100/50</f>
        <v>42</v>
      </c>
      <c r="H188" s="29">
        <f t="shared" ref="H188" si="24">G188*F188</f>
        <v>2928.24</v>
      </c>
    </row>
    <row r="189" spans="1:8" x14ac:dyDescent="0.25">
      <c r="A189" s="30"/>
      <c r="B189" s="50"/>
      <c r="C189" s="50" t="s">
        <v>107</v>
      </c>
      <c r="D189" s="77" t="s">
        <v>108</v>
      </c>
      <c r="E189" s="32"/>
      <c r="F189" s="33"/>
      <c r="G189" s="34"/>
      <c r="H189" s="29">
        <f>SUM(H188:H188)*0.03</f>
        <v>87.847199999999987</v>
      </c>
    </row>
    <row r="190" spans="1:8" x14ac:dyDescent="0.25">
      <c r="A190" s="41" t="s">
        <v>30</v>
      </c>
      <c r="B190" s="42" t="s">
        <v>31</v>
      </c>
      <c r="C190" s="43"/>
      <c r="D190" s="44"/>
      <c r="E190" s="45" t="s">
        <v>20</v>
      </c>
      <c r="F190" s="46">
        <f>F185</f>
        <v>464.8</v>
      </c>
      <c r="G190" s="46">
        <f>ROUND((H191+H192)/F190,2)</f>
        <v>476.07</v>
      </c>
      <c r="H190" s="58">
        <f>ROUND(G190*F190,2)</f>
        <v>221277.34</v>
      </c>
    </row>
    <row r="191" spans="1:8" x14ac:dyDescent="0.25">
      <c r="A191" s="24"/>
      <c r="B191" s="47" t="s">
        <v>21</v>
      </c>
      <c r="C191" s="25"/>
      <c r="D191" s="26"/>
      <c r="E191" s="27" t="s">
        <v>20</v>
      </c>
      <c r="F191" s="28">
        <f>F190</f>
        <v>464.8</v>
      </c>
      <c r="G191" s="27">
        <v>350</v>
      </c>
      <c r="H191" s="29">
        <f>G191*F191</f>
        <v>162680</v>
      </c>
    </row>
    <row r="192" spans="1:8" x14ac:dyDescent="0.25">
      <c r="A192" s="24"/>
      <c r="B192" s="48" t="s">
        <v>22</v>
      </c>
      <c r="C192" s="25"/>
      <c r="D192" s="26"/>
      <c r="E192" s="49"/>
      <c r="F192" s="28"/>
      <c r="G192" s="27">
        <f>H192/F190</f>
        <v>126.07200000000002</v>
      </c>
      <c r="H192" s="29">
        <f>SUM(H193:H195)</f>
        <v>58598.265600000006</v>
      </c>
    </row>
    <row r="193" spans="1:8" x14ac:dyDescent="0.25">
      <c r="A193" s="24"/>
      <c r="B193" s="50"/>
      <c r="C193" s="53" t="s">
        <v>32</v>
      </c>
      <c r="D193" s="31">
        <v>5.5</v>
      </c>
      <c r="E193" s="32" t="s">
        <v>27</v>
      </c>
      <c r="F193" s="51">
        <f>(D193*F190)</f>
        <v>2556.4</v>
      </c>
      <c r="G193" s="52">
        <f>360/25</f>
        <v>14.4</v>
      </c>
      <c r="H193" s="29">
        <f t="shared" ref="H193:H194" si="25">G193*F193</f>
        <v>36812.160000000003</v>
      </c>
    </row>
    <row r="194" spans="1:8" ht="25.5" x14ac:dyDescent="0.25">
      <c r="A194" s="24"/>
      <c r="B194" s="50"/>
      <c r="C194" s="50" t="s">
        <v>33</v>
      </c>
      <c r="D194" s="31">
        <v>1.2</v>
      </c>
      <c r="E194" s="32" t="s">
        <v>20</v>
      </c>
      <c r="F194" s="51">
        <f>(D194*F190)</f>
        <v>557.76</v>
      </c>
      <c r="G194" s="52">
        <f>1800/50</f>
        <v>36</v>
      </c>
      <c r="H194" s="29">
        <f t="shared" si="25"/>
        <v>20079.36</v>
      </c>
    </row>
    <row r="195" spans="1:8" x14ac:dyDescent="0.25">
      <c r="A195" s="30"/>
      <c r="B195" s="50"/>
      <c r="C195" s="50" t="s">
        <v>107</v>
      </c>
      <c r="D195" s="77" t="s">
        <v>108</v>
      </c>
      <c r="E195" s="32"/>
      <c r="F195" s="33"/>
      <c r="G195" s="34"/>
      <c r="H195" s="29">
        <f>SUM(H193:H194)*0.03</f>
        <v>1706.7456</v>
      </c>
    </row>
    <row r="196" spans="1:8" x14ac:dyDescent="0.25">
      <c r="A196" s="41" t="s">
        <v>36</v>
      </c>
      <c r="B196" s="42" t="s">
        <v>37</v>
      </c>
      <c r="C196" s="43"/>
      <c r="D196" s="44"/>
      <c r="E196" s="45" t="s">
        <v>20</v>
      </c>
      <c r="F196" s="46">
        <f>F185</f>
        <v>464.8</v>
      </c>
      <c r="G196" s="46">
        <f>ROUND((H197+H198)/F196,2)</f>
        <v>573.15</v>
      </c>
      <c r="H196" s="58">
        <f>ROUND(G196*F196,2)</f>
        <v>266400.12</v>
      </c>
    </row>
    <row r="197" spans="1:8" x14ac:dyDescent="0.25">
      <c r="A197" s="24"/>
      <c r="B197" s="47" t="s">
        <v>21</v>
      </c>
      <c r="C197" s="25"/>
      <c r="D197" s="26"/>
      <c r="E197" s="27" t="s">
        <v>20</v>
      </c>
      <c r="F197" s="28">
        <f>F196</f>
        <v>464.8</v>
      </c>
      <c r="G197" s="27">
        <v>350</v>
      </c>
      <c r="H197" s="29">
        <f>G197*F197</f>
        <v>162680</v>
      </c>
    </row>
    <row r="198" spans="1:8" x14ac:dyDescent="0.25">
      <c r="A198" s="24"/>
      <c r="B198" s="48" t="s">
        <v>22</v>
      </c>
      <c r="C198" s="25"/>
      <c r="D198" s="26"/>
      <c r="E198" s="49"/>
      <c r="F198" s="28"/>
      <c r="G198" s="27">
        <f>H198/F196</f>
        <v>223.14950000000002</v>
      </c>
      <c r="H198" s="29">
        <f>SUM(H199:H201)</f>
        <v>103719.88760000002</v>
      </c>
    </row>
    <row r="199" spans="1:8" ht="25.5" x14ac:dyDescent="0.25">
      <c r="A199" s="24"/>
      <c r="B199" s="50"/>
      <c r="C199" s="50" t="s">
        <v>38</v>
      </c>
      <c r="D199" s="31">
        <v>0.2</v>
      </c>
      <c r="E199" s="32" t="s">
        <v>24</v>
      </c>
      <c r="F199" s="51">
        <f>(D199*F196)</f>
        <v>92.960000000000008</v>
      </c>
      <c r="G199" s="52">
        <f>820/10</f>
        <v>82</v>
      </c>
      <c r="H199" s="29">
        <f t="shared" ref="H199:H200" si="26">G199*F199</f>
        <v>7622.72</v>
      </c>
    </row>
    <row r="200" spans="1:8" ht="25.5" x14ac:dyDescent="0.25">
      <c r="A200" s="24"/>
      <c r="B200" s="50"/>
      <c r="C200" s="53" t="s">
        <v>101</v>
      </c>
      <c r="D200" s="31">
        <v>3</v>
      </c>
      <c r="E200" s="32" t="s">
        <v>27</v>
      </c>
      <c r="F200" s="51">
        <f>(F196*D200)</f>
        <v>1394.4</v>
      </c>
      <c r="G200" s="52">
        <f>1068/16</f>
        <v>66.75</v>
      </c>
      <c r="H200" s="29">
        <f t="shared" si="26"/>
        <v>93076.200000000012</v>
      </c>
    </row>
    <row r="201" spans="1:8" x14ac:dyDescent="0.25">
      <c r="A201" s="30"/>
      <c r="B201" s="50"/>
      <c r="C201" s="50" t="s">
        <v>107</v>
      </c>
      <c r="D201" s="77" t="s">
        <v>108</v>
      </c>
      <c r="E201" s="32"/>
      <c r="F201" s="33"/>
      <c r="G201" s="34"/>
      <c r="H201" s="29">
        <f>SUM(H199:H200)*0.03</f>
        <v>3020.9676000000004</v>
      </c>
    </row>
    <row r="202" spans="1:8" x14ac:dyDescent="0.25">
      <c r="A202" s="35">
        <v>1</v>
      </c>
      <c r="B202" s="36" t="s">
        <v>117</v>
      </c>
      <c r="C202" s="36"/>
      <c r="D202" s="37"/>
      <c r="E202" s="38"/>
      <c r="F202" s="39"/>
      <c r="G202" s="40"/>
      <c r="H202" s="40">
        <f>H203+H211+H217</f>
        <v>367728.42000000004</v>
      </c>
    </row>
    <row r="203" spans="1:8" x14ac:dyDescent="0.25">
      <c r="A203" s="41" t="s">
        <v>19</v>
      </c>
      <c r="B203" s="42" t="s">
        <v>114</v>
      </c>
      <c r="C203" s="43"/>
      <c r="D203" s="44"/>
      <c r="E203" s="45" t="s">
        <v>20</v>
      </c>
      <c r="F203" s="46">
        <v>178</v>
      </c>
      <c r="G203" s="46">
        <f>ROUND((H204+H205)/F203,2)</f>
        <v>1016.67</v>
      </c>
      <c r="H203" s="58">
        <f>ROUND(G203*F203,2)</f>
        <v>180967.26</v>
      </c>
    </row>
    <row r="204" spans="1:8" x14ac:dyDescent="0.25">
      <c r="A204" s="24"/>
      <c r="B204" s="47" t="s">
        <v>21</v>
      </c>
      <c r="C204" s="25"/>
      <c r="D204" s="26"/>
      <c r="E204" s="27" t="s">
        <v>20</v>
      </c>
      <c r="F204" s="28">
        <f>F203</f>
        <v>178</v>
      </c>
      <c r="G204" s="27">
        <v>350</v>
      </c>
      <c r="H204" s="29">
        <f>G204*F204</f>
        <v>62300</v>
      </c>
    </row>
    <row r="205" spans="1:8" x14ac:dyDescent="0.25">
      <c r="A205" s="24"/>
      <c r="B205" s="48" t="s">
        <v>22</v>
      </c>
      <c r="C205" s="25"/>
      <c r="D205" s="26"/>
      <c r="E205" s="49"/>
      <c r="F205" s="28"/>
      <c r="G205" s="27">
        <f>H205/F203</f>
        <v>666.66750000000002</v>
      </c>
      <c r="H205" s="29">
        <f>SUM(H206:H210)</f>
        <v>118666.815</v>
      </c>
    </row>
    <row r="206" spans="1:8" ht="25.5" x14ac:dyDescent="0.25">
      <c r="A206" s="24"/>
      <c r="B206" s="50"/>
      <c r="C206" s="50" t="s">
        <v>23</v>
      </c>
      <c r="D206" s="31">
        <v>0.15</v>
      </c>
      <c r="E206" s="32" t="s">
        <v>24</v>
      </c>
      <c r="F206" s="51">
        <f>(D206*F203)</f>
        <v>26.7</v>
      </c>
      <c r="G206" s="52">
        <f>2100/50</f>
        <v>42</v>
      </c>
      <c r="H206" s="29">
        <f t="shared" ref="H206:H209" si="27">G206*F206</f>
        <v>1121.3999999999999</v>
      </c>
    </row>
    <row r="207" spans="1:8" ht="25.5" x14ac:dyDescent="0.25">
      <c r="A207" s="24"/>
      <c r="B207" s="50"/>
      <c r="C207" s="53" t="s">
        <v>115</v>
      </c>
      <c r="D207" s="31">
        <f>0.13*1.05</f>
        <v>0.13650000000000001</v>
      </c>
      <c r="E207" s="32" t="s">
        <v>25</v>
      </c>
      <c r="F207" s="51">
        <f>D207*F203</f>
        <v>24.297000000000001</v>
      </c>
      <c r="G207" s="52">
        <v>3700</v>
      </c>
      <c r="H207" s="29">
        <f t="shared" si="27"/>
        <v>89898.900000000009</v>
      </c>
    </row>
    <row r="208" spans="1:8" x14ac:dyDescent="0.25">
      <c r="A208" s="24"/>
      <c r="B208" s="50"/>
      <c r="C208" s="50" t="s">
        <v>26</v>
      </c>
      <c r="D208" s="31">
        <v>6</v>
      </c>
      <c r="E208" s="32" t="s">
        <v>27</v>
      </c>
      <c r="F208" s="51">
        <f>(D208*F203)</f>
        <v>1068</v>
      </c>
      <c r="G208" s="52">
        <f>260/25</f>
        <v>10.4</v>
      </c>
      <c r="H208" s="29">
        <f t="shared" si="27"/>
        <v>11107.2</v>
      </c>
    </row>
    <row r="209" spans="1:8" x14ac:dyDescent="0.25">
      <c r="A209" s="24"/>
      <c r="B209" s="50"/>
      <c r="C209" s="50" t="s">
        <v>28</v>
      </c>
      <c r="D209" s="31">
        <v>7</v>
      </c>
      <c r="E209" s="32" t="s">
        <v>29</v>
      </c>
      <c r="F209" s="51">
        <f>D209*F203</f>
        <v>1246</v>
      </c>
      <c r="G209" s="52">
        <v>10.5</v>
      </c>
      <c r="H209" s="29">
        <f t="shared" si="27"/>
        <v>13083</v>
      </c>
    </row>
    <row r="210" spans="1:8" x14ac:dyDescent="0.25">
      <c r="A210" s="30"/>
      <c r="B210" s="50"/>
      <c r="C210" s="50" t="s">
        <v>107</v>
      </c>
      <c r="D210" s="77" t="s">
        <v>108</v>
      </c>
      <c r="E210" s="32"/>
      <c r="F210" s="33"/>
      <c r="G210" s="34"/>
      <c r="H210" s="29">
        <f>SUM(H206:H209)*0.03</f>
        <v>3456.3150000000001</v>
      </c>
    </row>
    <row r="211" spans="1:8" x14ac:dyDescent="0.25">
      <c r="A211" s="41" t="s">
        <v>30</v>
      </c>
      <c r="B211" s="42" t="s">
        <v>31</v>
      </c>
      <c r="C211" s="43"/>
      <c r="D211" s="44"/>
      <c r="E211" s="45" t="s">
        <v>20</v>
      </c>
      <c r="F211" s="46">
        <f>F203</f>
        <v>178</v>
      </c>
      <c r="G211" s="46">
        <f>ROUND((H212+H213)/F211,2)</f>
        <v>476.07</v>
      </c>
      <c r="H211" s="58">
        <f>ROUND(G211*F211,2)</f>
        <v>84740.46</v>
      </c>
    </row>
    <row r="212" spans="1:8" x14ac:dyDescent="0.25">
      <c r="A212" s="24"/>
      <c r="B212" s="47" t="s">
        <v>21</v>
      </c>
      <c r="C212" s="25"/>
      <c r="D212" s="26"/>
      <c r="E212" s="27" t="s">
        <v>20</v>
      </c>
      <c r="F212" s="28">
        <f>F211</f>
        <v>178</v>
      </c>
      <c r="G212" s="27">
        <v>350</v>
      </c>
      <c r="H212" s="29">
        <f>G212*F212</f>
        <v>62300</v>
      </c>
    </row>
    <row r="213" spans="1:8" x14ac:dyDescent="0.25">
      <c r="A213" s="24"/>
      <c r="B213" s="48" t="s">
        <v>22</v>
      </c>
      <c r="C213" s="25"/>
      <c r="D213" s="26"/>
      <c r="E213" s="49"/>
      <c r="F213" s="28"/>
      <c r="G213" s="27">
        <f>H213/F211</f>
        <v>126.07199999999999</v>
      </c>
      <c r="H213" s="29">
        <f>SUM(H214:H216)</f>
        <v>22440.815999999999</v>
      </c>
    </row>
    <row r="214" spans="1:8" x14ac:dyDescent="0.25">
      <c r="A214" s="24"/>
      <c r="B214" s="50"/>
      <c r="C214" s="53" t="s">
        <v>32</v>
      </c>
      <c r="D214" s="31">
        <v>5.5</v>
      </c>
      <c r="E214" s="32" t="s">
        <v>27</v>
      </c>
      <c r="F214" s="51">
        <f>(D214*F211)</f>
        <v>979</v>
      </c>
      <c r="G214" s="52">
        <f>360/25</f>
        <v>14.4</v>
      </c>
      <c r="H214" s="29">
        <f t="shared" ref="H214:H215" si="28">G214*F214</f>
        <v>14097.6</v>
      </c>
    </row>
    <row r="215" spans="1:8" ht="25.5" x14ac:dyDescent="0.25">
      <c r="A215" s="24"/>
      <c r="B215" s="50"/>
      <c r="C215" s="50" t="s">
        <v>33</v>
      </c>
      <c r="D215" s="31">
        <v>1.2</v>
      </c>
      <c r="E215" s="32" t="s">
        <v>20</v>
      </c>
      <c r="F215" s="51">
        <f>(D215*F211)</f>
        <v>213.6</v>
      </c>
      <c r="G215" s="52">
        <f>1800/50</f>
        <v>36</v>
      </c>
      <c r="H215" s="29">
        <f t="shared" si="28"/>
        <v>7689.5999999999995</v>
      </c>
    </row>
    <row r="216" spans="1:8" x14ac:dyDescent="0.25">
      <c r="A216" s="30"/>
      <c r="B216" s="50"/>
      <c r="C216" s="50" t="s">
        <v>107</v>
      </c>
      <c r="D216" s="77" t="s">
        <v>108</v>
      </c>
      <c r="E216" s="32"/>
      <c r="F216" s="33"/>
      <c r="G216" s="34"/>
      <c r="H216" s="29">
        <f>SUM(H214:H215)*0.03</f>
        <v>653.61599999999999</v>
      </c>
    </row>
    <row r="217" spans="1:8" x14ac:dyDescent="0.25">
      <c r="A217" s="41" t="s">
        <v>36</v>
      </c>
      <c r="B217" s="42" t="s">
        <v>37</v>
      </c>
      <c r="C217" s="43"/>
      <c r="D217" s="44"/>
      <c r="E217" s="45" t="s">
        <v>20</v>
      </c>
      <c r="F217" s="46">
        <f>F203</f>
        <v>178</v>
      </c>
      <c r="G217" s="46">
        <f>ROUND((H218+H219)/F217,2)</f>
        <v>573.15</v>
      </c>
      <c r="H217" s="58">
        <f>ROUND(G217*F217,2)</f>
        <v>102020.7</v>
      </c>
    </row>
    <row r="218" spans="1:8" x14ac:dyDescent="0.25">
      <c r="A218" s="24"/>
      <c r="B218" s="47" t="s">
        <v>21</v>
      </c>
      <c r="C218" s="25"/>
      <c r="D218" s="26"/>
      <c r="E218" s="27" t="s">
        <v>20</v>
      </c>
      <c r="F218" s="28">
        <f>F217</f>
        <v>178</v>
      </c>
      <c r="G218" s="27">
        <v>350</v>
      </c>
      <c r="H218" s="29">
        <f>G218*F218</f>
        <v>62300</v>
      </c>
    </row>
    <row r="219" spans="1:8" x14ac:dyDescent="0.25">
      <c r="A219" s="24"/>
      <c r="B219" s="48" t="s">
        <v>22</v>
      </c>
      <c r="C219" s="25"/>
      <c r="D219" s="26"/>
      <c r="E219" s="49"/>
      <c r="F219" s="28"/>
      <c r="G219" s="27">
        <f>H219/F217</f>
        <v>223.14949999999999</v>
      </c>
      <c r="H219" s="29">
        <f>SUM(H220:H222)</f>
        <v>39720.610999999997</v>
      </c>
    </row>
    <row r="220" spans="1:8" ht="25.5" x14ac:dyDescent="0.25">
      <c r="A220" s="24"/>
      <c r="B220" s="50"/>
      <c r="C220" s="50" t="s">
        <v>38</v>
      </c>
      <c r="D220" s="31">
        <v>0.2</v>
      </c>
      <c r="E220" s="32" t="s">
        <v>24</v>
      </c>
      <c r="F220" s="51">
        <f>(D220*F217)</f>
        <v>35.6</v>
      </c>
      <c r="G220" s="52">
        <f>820/10</f>
        <v>82</v>
      </c>
      <c r="H220" s="29">
        <f t="shared" ref="H220:H221" si="29">G220*F220</f>
        <v>2919.2000000000003</v>
      </c>
    </row>
    <row r="221" spans="1:8" ht="25.5" x14ac:dyDescent="0.25">
      <c r="A221" s="24"/>
      <c r="B221" s="50"/>
      <c r="C221" s="53" t="s">
        <v>101</v>
      </c>
      <c r="D221" s="31">
        <v>3</v>
      </c>
      <c r="E221" s="32" t="s">
        <v>27</v>
      </c>
      <c r="F221" s="51">
        <f>(F217*D221)</f>
        <v>534</v>
      </c>
      <c r="G221" s="52">
        <f>1068/16</f>
        <v>66.75</v>
      </c>
      <c r="H221" s="29">
        <f t="shared" si="29"/>
        <v>35644.5</v>
      </c>
    </row>
    <row r="222" spans="1:8" x14ac:dyDescent="0.25">
      <c r="A222" s="30"/>
      <c r="B222" s="50"/>
      <c r="C222" s="50" t="s">
        <v>107</v>
      </c>
      <c r="D222" s="77" t="s">
        <v>108</v>
      </c>
      <c r="E222" s="32"/>
      <c r="F222" s="33"/>
      <c r="G222" s="34"/>
      <c r="H222" s="29">
        <f>SUM(H220:H221)*0.03</f>
        <v>1156.9109999999998</v>
      </c>
    </row>
    <row r="223" spans="1:8" x14ac:dyDescent="0.25">
      <c r="A223" s="35" t="s">
        <v>39</v>
      </c>
      <c r="B223" s="36" t="s">
        <v>98</v>
      </c>
      <c r="C223" s="36"/>
      <c r="D223" s="37"/>
      <c r="E223" s="38"/>
      <c r="F223" s="39"/>
      <c r="G223" s="40"/>
      <c r="H223" s="40">
        <f>H224+H238+H245+H232</f>
        <v>240134.93</v>
      </c>
    </row>
    <row r="224" spans="1:8" x14ac:dyDescent="0.25">
      <c r="A224" s="41" t="s">
        <v>41</v>
      </c>
      <c r="B224" s="42" t="s">
        <v>96</v>
      </c>
      <c r="C224" s="43"/>
      <c r="D224" s="44"/>
      <c r="E224" s="45" t="s">
        <v>20</v>
      </c>
      <c r="F224" s="46">
        <v>74.8</v>
      </c>
      <c r="G224" s="46">
        <f>ROUND((H225+H226)/F224,2)</f>
        <v>1511.27</v>
      </c>
      <c r="H224" s="58">
        <f>ROUND(G224*F224,2)</f>
        <v>113043</v>
      </c>
    </row>
    <row r="225" spans="1:8" x14ac:dyDescent="0.25">
      <c r="A225" s="24"/>
      <c r="B225" s="47" t="s">
        <v>21</v>
      </c>
      <c r="C225" s="25"/>
      <c r="D225" s="26"/>
      <c r="E225" s="27" t="s">
        <v>20</v>
      </c>
      <c r="F225" s="28">
        <f>F224</f>
        <v>74.8</v>
      </c>
      <c r="G225" s="27">
        <v>350</v>
      </c>
      <c r="H225" s="29">
        <f>G225*F225</f>
        <v>26180</v>
      </c>
    </row>
    <row r="226" spans="1:8" x14ac:dyDescent="0.25">
      <c r="A226" s="24"/>
      <c r="B226" s="48" t="s">
        <v>22</v>
      </c>
      <c r="C226" s="25"/>
      <c r="D226" s="26"/>
      <c r="E226" s="49"/>
      <c r="F226" s="28"/>
      <c r="G226" s="27">
        <f>H226/F224</f>
        <v>1161.2735000000002</v>
      </c>
      <c r="H226" s="29">
        <f>SUM(H227:H231)</f>
        <v>86863.257800000007</v>
      </c>
    </row>
    <row r="227" spans="1:8" ht="25.5" x14ac:dyDescent="0.25">
      <c r="A227" s="24"/>
      <c r="B227" s="50"/>
      <c r="C227" s="50" t="s">
        <v>23</v>
      </c>
      <c r="D227" s="31">
        <v>0.15</v>
      </c>
      <c r="E227" s="32" t="s">
        <v>24</v>
      </c>
      <c r="F227" s="51">
        <f>D227*F224</f>
        <v>11.219999999999999</v>
      </c>
      <c r="G227" s="52">
        <f>2100/50</f>
        <v>42</v>
      </c>
      <c r="H227" s="29">
        <f t="shared" ref="H227:H230" si="30">G227*F227</f>
        <v>471.23999999999995</v>
      </c>
    </row>
    <row r="228" spans="1:8" x14ac:dyDescent="0.25">
      <c r="A228" s="24"/>
      <c r="B228" s="50"/>
      <c r="C228" s="50" t="s">
        <v>123</v>
      </c>
      <c r="D228" s="31">
        <f>0.25*1.05</f>
        <v>0.26250000000000001</v>
      </c>
      <c r="E228" s="32" t="s">
        <v>25</v>
      </c>
      <c r="F228" s="51">
        <f>D228*F224</f>
        <v>19.635000000000002</v>
      </c>
      <c r="G228" s="52">
        <v>3700</v>
      </c>
      <c r="H228" s="29">
        <f t="shared" si="30"/>
        <v>72649.5</v>
      </c>
    </row>
    <row r="229" spans="1:8" x14ac:dyDescent="0.25">
      <c r="A229" s="24"/>
      <c r="B229" s="50"/>
      <c r="C229" s="50" t="s">
        <v>26</v>
      </c>
      <c r="D229" s="31">
        <v>6</v>
      </c>
      <c r="E229" s="32" t="s">
        <v>27</v>
      </c>
      <c r="F229" s="51">
        <f>(D229*F224)</f>
        <v>448.79999999999995</v>
      </c>
      <c r="G229" s="52">
        <f>260/25</f>
        <v>10.4</v>
      </c>
      <c r="H229" s="29">
        <f t="shared" si="30"/>
        <v>4667.5199999999995</v>
      </c>
    </row>
    <row r="230" spans="1:8" x14ac:dyDescent="0.25">
      <c r="A230" s="24"/>
      <c r="B230" s="50"/>
      <c r="C230" s="50" t="s">
        <v>68</v>
      </c>
      <c r="D230" s="31">
        <v>7</v>
      </c>
      <c r="E230" s="32" t="s">
        <v>29</v>
      </c>
      <c r="F230" s="51">
        <f>D230*F224</f>
        <v>523.6</v>
      </c>
      <c r="G230" s="52">
        <v>12.5</v>
      </c>
      <c r="H230" s="29">
        <f t="shared" si="30"/>
        <v>6545</v>
      </c>
    </row>
    <row r="231" spans="1:8" x14ac:dyDescent="0.25">
      <c r="A231" s="30"/>
      <c r="B231" s="50"/>
      <c r="C231" s="50" t="s">
        <v>107</v>
      </c>
      <c r="D231" s="77" t="s">
        <v>108</v>
      </c>
      <c r="E231" s="32"/>
      <c r="F231" s="33"/>
      <c r="G231" s="34"/>
      <c r="H231" s="29">
        <f>SUM(H227:H230)*0.03</f>
        <v>2529.9978000000001</v>
      </c>
    </row>
    <row r="232" spans="1:8" x14ac:dyDescent="0.25">
      <c r="A232" s="41" t="s">
        <v>45</v>
      </c>
      <c r="B232" s="42" t="s">
        <v>97</v>
      </c>
      <c r="C232" s="43"/>
      <c r="D232" s="44"/>
      <c r="E232" s="45" t="s">
        <v>20</v>
      </c>
      <c r="F232" s="46">
        <f>F224</f>
        <v>74.8</v>
      </c>
      <c r="G232" s="46">
        <f>ROUND((H233+H234)/F232,2)</f>
        <v>640.20000000000005</v>
      </c>
      <c r="H232" s="58">
        <f>ROUND(G232*F232,2)</f>
        <v>47886.96</v>
      </c>
    </row>
    <row r="233" spans="1:8" x14ac:dyDescent="0.25">
      <c r="A233" s="24"/>
      <c r="B233" s="47" t="s">
        <v>21</v>
      </c>
      <c r="C233" s="25"/>
      <c r="D233" s="26"/>
      <c r="E233" s="27" t="s">
        <v>20</v>
      </c>
      <c r="F233" s="28">
        <f>F232</f>
        <v>74.8</v>
      </c>
      <c r="G233" s="27">
        <v>350</v>
      </c>
      <c r="H233" s="29">
        <f>G233*F233</f>
        <v>26180</v>
      </c>
    </row>
    <row r="234" spans="1:8" x14ac:dyDescent="0.25">
      <c r="A234" s="24"/>
      <c r="B234" s="48" t="s">
        <v>22</v>
      </c>
      <c r="C234" s="25"/>
      <c r="D234" s="26"/>
      <c r="E234" s="49"/>
      <c r="F234" s="28"/>
      <c r="G234" s="27">
        <f>H234/F232</f>
        <v>290.20250000000004</v>
      </c>
      <c r="H234" s="29">
        <f>SUM(H235:H237)</f>
        <v>21707.147000000001</v>
      </c>
    </row>
    <row r="235" spans="1:8" x14ac:dyDescent="0.25">
      <c r="A235" s="24"/>
      <c r="B235" s="50"/>
      <c r="C235" s="50" t="s">
        <v>111</v>
      </c>
      <c r="D235" s="31">
        <f>0.05*1.05</f>
        <v>5.2500000000000005E-2</v>
      </c>
      <c r="E235" s="32" t="s">
        <v>25</v>
      </c>
      <c r="F235" s="79">
        <f>F232*D235</f>
        <v>3.927</v>
      </c>
      <c r="G235" s="52">
        <v>3700</v>
      </c>
      <c r="H235" s="29">
        <f>G235*F235</f>
        <v>14529.9</v>
      </c>
    </row>
    <row r="236" spans="1:8" x14ac:dyDescent="0.25">
      <c r="A236" s="24"/>
      <c r="B236" s="50"/>
      <c r="C236" s="50" t="s">
        <v>68</v>
      </c>
      <c r="D236" s="31">
        <v>7</v>
      </c>
      <c r="E236" s="32" t="s">
        <v>29</v>
      </c>
      <c r="F236" s="51">
        <f>F232*D236</f>
        <v>523.6</v>
      </c>
      <c r="G236" s="52">
        <v>12.5</v>
      </c>
      <c r="H236" s="29">
        <f t="shared" ref="H236" si="31">G236*F236</f>
        <v>6545</v>
      </c>
    </row>
    <row r="237" spans="1:8" x14ac:dyDescent="0.25">
      <c r="A237" s="30"/>
      <c r="B237" s="50"/>
      <c r="C237" s="50" t="s">
        <v>107</v>
      </c>
      <c r="D237" s="77" t="s">
        <v>108</v>
      </c>
      <c r="E237" s="32"/>
      <c r="F237" s="33"/>
      <c r="G237" s="34"/>
      <c r="H237" s="29">
        <f>SUM(H235:H236)*0.03</f>
        <v>632.24700000000007</v>
      </c>
    </row>
    <row r="238" spans="1:8" x14ac:dyDescent="0.25">
      <c r="A238" s="41" t="s">
        <v>47</v>
      </c>
      <c r="B238" s="42" t="s">
        <v>99</v>
      </c>
      <c r="C238" s="43"/>
      <c r="D238" s="44"/>
      <c r="E238" s="45" t="s">
        <v>20</v>
      </c>
      <c r="F238" s="46">
        <f>F224</f>
        <v>74.8</v>
      </c>
      <c r="G238" s="46">
        <f>ROUND((H239+H240)/F238,2)</f>
        <v>485.74</v>
      </c>
      <c r="H238" s="58">
        <f>ROUND(G238*F238,2)</f>
        <v>36333.35</v>
      </c>
    </row>
    <row r="239" spans="1:8" x14ac:dyDescent="0.25">
      <c r="A239" s="24"/>
      <c r="B239" s="47" t="s">
        <v>21</v>
      </c>
      <c r="C239" s="25"/>
      <c r="D239" s="26"/>
      <c r="E239" s="27" t="s">
        <v>20</v>
      </c>
      <c r="F239" s="28">
        <f>F238</f>
        <v>74.8</v>
      </c>
      <c r="G239" s="78">
        <v>330</v>
      </c>
      <c r="H239" s="29">
        <f>G239*F239</f>
        <v>24684</v>
      </c>
    </row>
    <row r="240" spans="1:8" x14ac:dyDescent="0.25">
      <c r="A240" s="24"/>
      <c r="B240" s="48" t="s">
        <v>22</v>
      </c>
      <c r="C240" s="25"/>
      <c r="D240" s="26"/>
      <c r="E240" s="49"/>
      <c r="F240" s="28"/>
      <c r="G240" s="27">
        <f>H240/F238</f>
        <v>155.73599999999999</v>
      </c>
      <c r="H240" s="29">
        <f>SUM(H241:H244)</f>
        <v>11649.052799999999</v>
      </c>
    </row>
    <row r="241" spans="1:8" x14ac:dyDescent="0.25">
      <c r="A241" s="24"/>
      <c r="B241" s="50"/>
      <c r="C241" s="50" t="s">
        <v>32</v>
      </c>
      <c r="D241" s="31">
        <v>5.5</v>
      </c>
      <c r="E241" s="32" t="s">
        <v>27</v>
      </c>
      <c r="F241" s="51">
        <f>(D241*F238)</f>
        <v>411.4</v>
      </c>
      <c r="G241" s="52">
        <f>360/25</f>
        <v>14.4</v>
      </c>
      <c r="H241" s="29">
        <f t="shared" ref="H241:H243" si="32">G241*F241</f>
        <v>5924.16</v>
      </c>
    </row>
    <row r="242" spans="1:8" ht="25.5" x14ac:dyDescent="0.25">
      <c r="A242" s="24"/>
      <c r="B242" s="50"/>
      <c r="C242" s="50" t="s">
        <v>33</v>
      </c>
      <c r="D242" s="31">
        <v>1.2</v>
      </c>
      <c r="E242" s="32" t="s">
        <v>20</v>
      </c>
      <c r="F242" s="51">
        <f>(D242*F238)</f>
        <v>89.759999999999991</v>
      </c>
      <c r="G242" s="52">
        <f>1800/50</f>
        <v>36</v>
      </c>
      <c r="H242" s="29">
        <f t="shared" si="32"/>
        <v>3231.3599999999997</v>
      </c>
    </row>
    <row r="243" spans="1:8" ht="25.5" x14ac:dyDescent="0.25">
      <c r="A243" s="24"/>
      <c r="B243" s="50"/>
      <c r="C243" s="50" t="s">
        <v>35</v>
      </c>
      <c r="D243" s="31">
        <v>0.12</v>
      </c>
      <c r="E243" s="32" t="s">
        <v>24</v>
      </c>
      <c r="F243" s="51">
        <f>(D243*F238)</f>
        <v>8.9759999999999991</v>
      </c>
      <c r="G243" s="52">
        <v>240</v>
      </c>
      <c r="H243" s="29">
        <f t="shared" si="32"/>
        <v>2154.2399999999998</v>
      </c>
    </row>
    <row r="244" spans="1:8" x14ac:dyDescent="0.25">
      <c r="A244" s="30"/>
      <c r="B244" s="50"/>
      <c r="C244" s="50" t="s">
        <v>107</v>
      </c>
      <c r="D244" s="77" t="s">
        <v>108</v>
      </c>
      <c r="E244" s="32"/>
      <c r="F244" s="33"/>
      <c r="G244" s="34"/>
      <c r="H244" s="29">
        <f>SUM(H241:H243)*0.03</f>
        <v>339.2928</v>
      </c>
    </row>
    <row r="245" spans="1:8" x14ac:dyDescent="0.25">
      <c r="A245" s="41" t="s">
        <v>109</v>
      </c>
      <c r="B245" s="42" t="s">
        <v>100</v>
      </c>
      <c r="C245" s="43"/>
      <c r="D245" s="44"/>
      <c r="E245" s="45" t="s">
        <v>20</v>
      </c>
      <c r="F245" s="46">
        <f>F224</f>
        <v>74.8</v>
      </c>
      <c r="G245" s="46">
        <f>ROUND((H246+H247)/F245,2)</f>
        <v>573.15</v>
      </c>
      <c r="H245" s="58">
        <f>ROUND(G245*F245,2)</f>
        <v>42871.62</v>
      </c>
    </row>
    <row r="246" spans="1:8" x14ac:dyDescent="0.25">
      <c r="A246" s="24"/>
      <c r="B246" s="47" t="s">
        <v>21</v>
      </c>
      <c r="C246" s="25"/>
      <c r="D246" s="26"/>
      <c r="E246" s="27" t="s">
        <v>20</v>
      </c>
      <c r="F246" s="28">
        <f>F245</f>
        <v>74.8</v>
      </c>
      <c r="G246" s="27">
        <v>350</v>
      </c>
      <c r="H246" s="29">
        <f>G246*F246</f>
        <v>26180</v>
      </c>
    </row>
    <row r="247" spans="1:8" x14ac:dyDescent="0.25">
      <c r="A247" s="24"/>
      <c r="B247" s="48" t="s">
        <v>22</v>
      </c>
      <c r="C247" s="25"/>
      <c r="D247" s="26"/>
      <c r="E247" s="49"/>
      <c r="F247" s="28"/>
      <c r="G247" s="27">
        <f>H247/F245</f>
        <v>223.14949999999999</v>
      </c>
      <c r="H247" s="29">
        <f>SUM(H248:H250)</f>
        <v>16691.582599999998</v>
      </c>
    </row>
    <row r="248" spans="1:8" ht="25.5" x14ac:dyDescent="0.25">
      <c r="A248" s="24"/>
      <c r="B248" s="50"/>
      <c r="C248" s="50" t="s">
        <v>38</v>
      </c>
      <c r="D248" s="31">
        <v>0.2</v>
      </c>
      <c r="E248" s="32" t="s">
        <v>24</v>
      </c>
      <c r="F248" s="51">
        <f>(D248*F245)</f>
        <v>14.96</v>
      </c>
      <c r="G248" s="52">
        <f>820/10</f>
        <v>82</v>
      </c>
      <c r="H248" s="29">
        <f t="shared" ref="H248:H249" si="33">G248*F248</f>
        <v>1226.72</v>
      </c>
    </row>
    <row r="249" spans="1:8" ht="25.5" x14ac:dyDescent="0.25">
      <c r="A249" s="24"/>
      <c r="B249" s="50"/>
      <c r="C249" s="53" t="s">
        <v>101</v>
      </c>
      <c r="D249" s="31">
        <v>3</v>
      </c>
      <c r="E249" s="32" t="s">
        <v>27</v>
      </c>
      <c r="F249" s="51">
        <f>F245*D249</f>
        <v>224.39999999999998</v>
      </c>
      <c r="G249" s="52">
        <f>G38</f>
        <v>66.75</v>
      </c>
      <c r="H249" s="29">
        <f t="shared" si="33"/>
        <v>14978.699999999999</v>
      </c>
    </row>
    <row r="250" spans="1:8" x14ac:dyDescent="0.25">
      <c r="A250" s="30"/>
      <c r="B250" s="50"/>
      <c r="C250" s="50" t="s">
        <v>107</v>
      </c>
      <c r="D250" s="77" t="s">
        <v>108</v>
      </c>
      <c r="E250" s="32"/>
      <c r="F250" s="33"/>
      <c r="G250" s="34"/>
      <c r="H250" s="29">
        <f>SUM(H248:H249)*0.03</f>
        <v>486.16259999999994</v>
      </c>
    </row>
    <row r="251" spans="1:8" x14ac:dyDescent="0.25">
      <c r="A251" s="35" t="s">
        <v>50</v>
      </c>
      <c r="B251" s="36" t="s">
        <v>40</v>
      </c>
      <c r="C251" s="36"/>
      <c r="D251" s="37"/>
      <c r="E251" s="38"/>
      <c r="F251" s="39"/>
      <c r="G251" s="40"/>
      <c r="H251" s="40">
        <f>H252+H258</f>
        <v>107712.49</v>
      </c>
    </row>
    <row r="252" spans="1:8" x14ac:dyDescent="0.25">
      <c r="A252" s="41" t="s">
        <v>52</v>
      </c>
      <c r="B252" s="42" t="s">
        <v>42</v>
      </c>
      <c r="C252" s="43"/>
      <c r="D252" s="44"/>
      <c r="E252" s="45" t="s">
        <v>20</v>
      </c>
      <c r="F252" s="46">
        <v>13.9</v>
      </c>
      <c r="G252" s="46">
        <f>ROUND((H253+H254)/F252,2)</f>
        <v>3920.9</v>
      </c>
      <c r="H252" s="58">
        <f>ROUND(G252*F252,2)</f>
        <v>54500.51</v>
      </c>
    </row>
    <row r="253" spans="1:8" x14ac:dyDescent="0.25">
      <c r="A253" s="24"/>
      <c r="B253" s="47" t="s">
        <v>21</v>
      </c>
      <c r="C253" s="25"/>
      <c r="D253" s="26"/>
      <c r="E253" s="27" t="s">
        <v>20</v>
      </c>
      <c r="F253" s="28">
        <f>F252</f>
        <v>13.9</v>
      </c>
      <c r="G253" s="27">
        <v>800</v>
      </c>
      <c r="H253" s="29">
        <f>G253*F253</f>
        <v>11120</v>
      </c>
    </row>
    <row r="254" spans="1:8" x14ac:dyDescent="0.25">
      <c r="A254" s="24"/>
      <c r="B254" s="48" t="s">
        <v>22</v>
      </c>
      <c r="C254" s="25"/>
      <c r="D254" s="26"/>
      <c r="E254" s="49"/>
      <c r="F254" s="28"/>
      <c r="G254" s="27">
        <f>H254/F252</f>
        <v>3120.9</v>
      </c>
      <c r="H254" s="29">
        <f>SUM(H255:H257)</f>
        <v>43380.51</v>
      </c>
    </row>
    <row r="255" spans="1:8" x14ac:dyDescent="0.25">
      <c r="A255" s="24"/>
      <c r="B255" s="50"/>
      <c r="C255" s="53" t="s">
        <v>43</v>
      </c>
      <c r="D255" s="31">
        <v>1.2</v>
      </c>
      <c r="E255" s="32" t="s">
        <v>20</v>
      </c>
      <c r="F255" s="51">
        <f>(D255*F252)</f>
        <v>16.68</v>
      </c>
      <c r="G255" s="52">
        <v>2350</v>
      </c>
      <c r="H255" s="29">
        <f t="shared" ref="H255:H256" si="34">G255*F255</f>
        <v>39198</v>
      </c>
    </row>
    <row r="256" spans="1:8" x14ac:dyDescent="0.25">
      <c r="A256" s="24"/>
      <c r="B256" s="50"/>
      <c r="C256" s="53" t="s">
        <v>44</v>
      </c>
      <c r="D256" s="31">
        <v>7</v>
      </c>
      <c r="E256" s="32" t="s">
        <v>29</v>
      </c>
      <c r="F256" s="51">
        <f>(D256*F252)</f>
        <v>97.3</v>
      </c>
      <c r="G256" s="52">
        <v>30</v>
      </c>
      <c r="H256" s="29">
        <f t="shared" si="34"/>
        <v>2919</v>
      </c>
    </row>
    <row r="257" spans="1:8" x14ac:dyDescent="0.25">
      <c r="A257" s="30"/>
      <c r="B257" s="50"/>
      <c r="C257" s="50" t="s">
        <v>107</v>
      </c>
      <c r="D257" s="77" t="s">
        <v>108</v>
      </c>
      <c r="E257" s="32"/>
      <c r="F257" s="33"/>
      <c r="G257" s="34"/>
      <c r="H257" s="29">
        <f>SUM(H255:H256)*0.03</f>
        <v>1263.51</v>
      </c>
    </row>
    <row r="258" spans="1:8" x14ac:dyDescent="0.25">
      <c r="A258" s="41" t="s">
        <v>55</v>
      </c>
      <c r="B258" s="42" t="s">
        <v>48</v>
      </c>
      <c r="C258" s="43"/>
      <c r="D258" s="44"/>
      <c r="E258" s="45" t="s">
        <v>20</v>
      </c>
      <c r="F258" s="46">
        <f>F252</f>
        <v>13.9</v>
      </c>
      <c r="G258" s="46">
        <f>ROUND((H259+H260)/F258,2)</f>
        <v>3828.2</v>
      </c>
      <c r="H258" s="58">
        <f>ROUND(G258*F258,2)</f>
        <v>53211.98</v>
      </c>
    </row>
    <row r="259" spans="1:8" x14ac:dyDescent="0.25">
      <c r="A259" s="24"/>
      <c r="B259" s="47" t="s">
        <v>21</v>
      </c>
      <c r="C259" s="25"/>
      <c r="D259" s="26"/>
      <c r="E259" s="27" t="s">
        <v>20</v>
      </c>
      <c r="F259" s="28">
        <f>F258</f>
        <v>13.9</v>
      </c>
      <c r="G259" s="27">
        <v>800</v>
      </c>
      <c r="H259" s="29">
        <f>G259*F259</f>
        <v>11120</v>
      </c>
    </row>
    <row r="260" spans="1:8" x14ac:dyDescent="0.25">
      <c r="A260" s="24"/>
      <c r="B260" s="48" t="s">
        <v>22</v>
      </c>
      <c r="C260" s="25"/>
      <c r="D260" s="26"/>
      <c r="E260" s="49"/>
      <c r="F260" s="28"/>
      <c r="G260" s="27">
        <f>H260/F258</f>
        <v>3028.2000000000003</v>
      </c>
      <c r="H260" s="29">
        <f>SUM(H261:H262)</f>
        <v>42091.98</v>
      </c>
    </row>
    <row r="261" spans="1:8" x14ac:dyDescent="0.25">
      <c r="A261" s="24"/>
      <c r="B261" s="50"/>
      <c r="C261" s="50" t="s">
        <v>49</v>
      </c>
      <c r="D261" s="31">
        <v>1.4</v>
      </c>
      <c r="E261" s="32" t="s">
        <v>20</v>
      </c>
      <c r="F261" s="51">
        <f>(D261*F258)</f>
        <v>19.46</v>
      </c>
      <c r="G261" s="52">
        <v>2100</v>
      </c>
      <c r="H261" s="29">
        <f t="shared" ref="H261" si="35">G261*F261</f>
        <v>40866</v>
      </c>
    </row>
    <row r="262" spans="1:8" x14ac:dyDescent="0.25">
      <c r="A262" s="30"/>
      <c r="B262" s="50"/>
      <c r="C262" s="50" t="s">
        <v>107</v>
      </c>
      <c r="D262" s="77" t="s">
        <v>108</v>
      </c>
      <c r="E262" s="32"/>
      <c r="F262" s="33"/>
      <c r="G262" s="34"/>
      <c r="H262" s="29">
        <f>SUM(H261)*0.03</f>
        <v>1225.98</v>
      </c>
    </row>
    <row r="263" spans="1:8" x14ac:dyDescent="0.25">
      <c r="A263" s="35" t="s">
        <v>50</v>
      </c>
      <c r="B263" s="36" t="s">
        <v>40</v>
      </c>
      <c r="C263" s="36"/>
      <c r="D263" s="37"/>
      <c r="E263" s="38"/>
      <c r="F263" s="39"/>
      <c r="G263" s="40"/>
      <c r="H263" s="40">
        <f>H264+H270+H276</f>
        <v>1762559.6</v>
      </c>
    </row>
    <row r="264" spans="1:8" x14ac:dyDescent="0.25">
      <c r="A264" s="41" t="s">
        <v>52</v>
      </c>
      <c r="B264" s="42" t="s">
        <v>42</v>
      </c>
      <c r="C264" s="43"/>
      <c r="D264" s="44"/>
      <c r="E264" s="45" t="s">
        <v>20</v>
      </c>
      <c r="F264" s="46">
        <v>204.4</v>
      </c>
      <c r="G264" s="46">
        <f>ROUND((H265+H266)/F264,2)</f>
        <v>3920.9</v>
      </c>
      <c r="H264" s="58">
        <f>ROUND(G264*F264,2)</f>
        <v>801431.96</v>
      </c>
    </row>
    <row r="265" spans="1:8" x14ac:dyDescent="0.25">
      <c r="A265" s="24"/>
      <c r="B265" s="47" t="s">
        <v>21</v>
      </c>
      <c r="C265" s="25"/>
      <c r="D265" s="26"/>
      <c r="E265" s="27" t="s">
        <v>20</v>
      </c>
      <c r="F265" s="28">
        <f>F264</f>
        <v>204.4</v>
      </c>
      <c r="G265" s="27">
        <v>800</v>
      </c>
      <c r="H265" s="29">
        <f>G265*F265</f>
        <v>163520</v>
      </c>
    </row>
    <row r="266" spans="1:8" x14ac:dyDescent="0.25">
      <c r="A266" s="24"/>
      <c r="B266" s="48" t="s">
        <v>22</v>
      </c>
      <c r="C266" s="25"/>
      <c r="D266" s="26"/>
      <c r="E266" s="49"/>
      <c r="F266" s="28"/>
      <c r="G266" s="27">
        <f>H266/F264</f>
        <v>3120.8999999999996</v>
      </c>
      <c r="H266" s="29">
        <f>SUM(H267:H269)</f>
        <v>637911.96</v>
      </c>
    </row>
    <row r="267" spans="1:8" x14ac:dyDescent="0.25">
      <c r="A267" s="24"/>
      <c r="B267" s="50"/>
      <c r="C267" s="53" t="s">
        <v>43</v>
      </c>
      <c r="D267" s="31">
        <v>1.2</v>
      </c>
      <c r="E267" s="32" t="s">
        <v>20</v>
      </c>
      <c r="F267" s="51">
        <f>(D267*F264)</f>
        <v>245.28</v>
      </c>
      <c r="G267" s="52">
        <v>2350</v>
      </c>
      <c r="H267" s="29">
        <f t="shared" ref="H267:H268" si="36">G267*F267</f>
        <v>576408</v>
      </c>
    </row>
    <row r="268" spans="1:8" x14ac:dyDescent="0.25">
      <c r="A268" s="24"/>
      <c r="B268" s="50"/>
      <c r="C268" s="53" t="s">
        <v>44</v>
      </c>
      <c r="D268" s="31">
        <v>7</v>
      </c>
      <c r="E268" s="32" t="s">
        <v>29</v>
      </c>
      <c r="F268" s="51">
        <f>(D268*F264)</f>
        <v>1430.8</v>
      </c>
      <c r="G268" s="52">
        <v>30</v>
      </c>
      <c r="H268" s="29">
        <f t="shared" si="36"/>
        <v>42924</v>
      </c>
    </row>
    <row r="269" spans="1:8" x14ac:dyDescent="0.25">
      <c r="A269" s="30"/>
      <c r="B269" s="50"/>
      <c r="C269" s="50" t="s">
        <v>107</v>
      </c>
      <c r="D269" s="77" t="s">
        <v>108</v>
      </c>
      <c r="E269" s="32"/>
      <c r="F269" s="33"/>
      <c r="G269" s="34"/>
      <c r="H269" s="29">
        <f>SUM(H267:H268)*0.03</f>
        <v>18579.96</v>
      </c>
    </row>
    <row r="270" spans="1:8" x14ac:dyDescent="0.25">
      <c r="A270" s="41" t="s">
        <v>54</v>
      </c>
      <c r="B270" s="42" t="s">
        <v>46</v>
      </c>
      <c r="C270" s="43"/>
      <c r="D270" s="44"/>
      <c r="E270" s="45" t="s">
        <v>20</v>
      </c>
      <c r="F270" s="46">
        <f>F264</f>
        <v>204.4</v>
      </c>
      <c r="G270" s="46">
        <f>ROUND((H271+H272)/F270,2)</f>
        <v>873.99</v>
      </c>
      <c r="H270" s="58">
        <f>ROUND(G270*F270,2)</f>
        <v>178643.56</v>
      </c>
    </row>
    <row r="271" spans="1:8" x14ac:dyDescent="0.25">
      <c r="A271" s="24"/>
      <c r="B271" s="47" t="s">
        <v>21</v>
      </c>
      <c r="C271" s="25"/>
      <c r="D271" s="26"/>
      <c r="E271" s="27" t="s">
        <v>20</v>
      </c>
      <c r="F271" s="28">
        <f>F270</f>
        <v>204.4</v>
      </c>
      <c r="G271" s="27">
        <v>350</v>
      </c>
      <c r="H271" s="29">
        <f>G271*F271</f>
        <v>71540</v>
      </c>
    </row>
    <row r="272" spans="1:8" x14ac:dyDescent="0.25">
      <c r="A272" s="24"/>
      <c r="B272" s="48" t="s">
        <v>22</v>
      </c>
      <c r="C272" s="25"/>
      <c r="D272" s="26"/>
      <c r="E272" s="49"/>
      <c r="F272" s="28"/>
      <c r="G272" s="27">
        <f>H272/F270</f>
        <v>523.98675000000003</v>
      </c>
      <c r="H272" s="29">
        <f>SUM(H273:H275)</f>
        <v>107102.89170000001</v>
      </c>
    </row>
    <row r="273" spans="1:8" ht="25.5" x14ac:dyDescent="0.25">
      <c r="A273" s="24"/>
      <c r="B273" s="50"/>
      <c r="C273" s="50" t="s">
        <v>125</v>
      </c>
      <c r="D273" s="31">
        <f>0.13*1.05</f>
        <v>0.13650000000000001</v>
      </c>
      <c r="E273" s="32" t="s">
        <v>25</v>
      </c>
      <c r="F273" s="51">
        <f>(D273*F270)</f>
        <v>27.900600000000004</v>
      </c>
      <c r="G273" s="52">
        <v>2650</v>
      </c>
      <c r="H273" s="29">
        <f t="shared" ref="H273:H274" si="37">G273*F273</f>
        <v>73936.590000000011</v>
      </c>
    </row>
    <row r="274" spans="1:8" x14ac:dyDescent="0.25">
      <c r="A274" s="24"/>
      <c r="B274" s="50"/>
      <c r="C274" s="50" t="s">
        <v>28</v>
      </c>
      <c r="D274" s="31">
        <v>14</v>
      </c>
      <c r="E274" s="32" t="s">
        <v>29</v>
      </c>
      <c r="F274" s="51">
        <f>(D274*F270)</f>
        <v>2861.6</v>
      </c>
      <c r="G274" s="52">
        <v>10.5</v>
      </c>
      <c r="H274" s="29">
        <f t="shared" si="37"/>
        <v>30046.799999999999</v>
      </c>
    </row>
    <row r="275" spans="1:8" x14ac:dyDescent="0.25">
      <c r="A275" s="30"/>
      <c r="B275" s="50"/>
      <c r="C275" s="50" t="s">
        <v>107</v>
      </c>
      <c r="D275" s="77" t="s">
        <v>108</v>
      </c>
      <c r="E275" s="32"/>
      <c r="F275" s="33"/>
      <c r="G275" s="34"/>
      <c r="H275" s="29">
        <f>SUM(H273:H274)*0.03</f>
        <v>3119.5017000000003</v>
      </c>
    </row>
    <row r="276" spans="1:8" x14ac:dyDescent="0.25">
      <c r="A276" s="41" t="s">
        <v>55</v>
      </c>
      <c r="B276" s="42" t="s">
        <v>48</v>
      </c>
      <c r="C276" s="43"/>
      <c r="D276" s="44"/>
      <c r="E276" s="45" t="s">
        <v>20</v>
      </c>
      <c r="F276" s="46">
        <f>F264</f>
        <v>204.4</v>
      </c>
      <c r="G276" s="46">
        <f>ROUND((H277+H278)/F276,2)</f>
        <v>3828.2</v>
      </c>
      <c r="H276" s="58">
        <f>ROUND(G276*F276,2)</f>
        <v>782484.08</v>
      </c>
    </row>
    <row r="277" spans="1:8" x14ac:dyDescent="0.25">
      <c r="A277" s="24"/>
      <c r="B277" s="47" t="s">
        <v>21</v>
      </c>
      <c r="C277" s="25"/>
      <c r="D277" s="26"/>
      <c r="E277" s="27" t="s">
        <v>20</v>
      </c>
      <c r="F277" s="28">
        <f>F276</f>
        <v>204.4</v>
      </c>
      <c r="G277" s="27">
        <v>800</v>
      </c>
      <c r="H277" s="29">
        <f>G277*F277</f>
        <v>163520</v>
      </c>
    </row>
    <row r="278" spans="1:8" x14ac:dyDescent="0.25">
      <c r="A278" s="24"/>
      <c r="B278" s="48" t="s">
        <v>22</v>
      </c>
      <c r="C278" s="25"/>
      <c r="D278" s="26"/>
      <c r="E278" s="49"/>
      <c r="F278" s="28"/>
      <c r="G278" s="27">
        <f>H278/F276</f>
        <v>3028.1999999999994</v>
      </c>
      <c r="H278" s="29">
        <f>SUM(H279:H280)</f>
        <v>618964.07999999984</v>
      </c>
    </row>
    <row r="279" spans="1:8" x14ac:dyDescent="0.25">
      <c r="A279" s="24"/>
      <c r="B279" s="50"/>
      <c r="C279" s="50" t="s">
        <v>49</v>
      </c>
      <c r="D279" s="31">
        <v>1.4</v>
      </c>
      <c r="E279" s="32" t="s">
        <v>20</v>
      </c>
      <c r="F279" s="51">
        <f>(D279*F276)</f>
        <v>286.15999999999997</v>
      </c>
      <c r="G279" s="52">
        <v>2100</v>
      </c>
      <c r="H279" s="29">
        <f t="shared" ref="H279" si="38">G279*F279</f>
        <v>600935.99999999988</v>
      </c>
    </row>
    <row r="280" spans="1:8" x14ac:dyDescent="0.25">
      <c r="A280" s="30"/>
      <c r="B280" s="50"/>
      <c r="C280" s="50" t="s">
        <v>107</v>
      </c>
      <c r="D280" s="77" t="s">
        <v>108</v>
      </c>
      <c r="E280" s="32"/>
      <c r="F280" s="33"/>
      <c r="G280" s="34"/>
      <c r="H280" s="29">
        <f>SUM(H279)*0.03</f>
        <v>18028.079999999994</v>
      </c>
    </row>
    <row r="281" spans="1:8" x14ac:dyDescent="0.25">
      <c r="A281" s="35" t="s">
        <v>50</v>
      </c>
      <c r="B281" s="36" t="s">
        <v>40</v>
      </c>
      <c r="C281" s="36"/>
      <c r="D281" s="37"/>
      <c r="E281" s="38"/>
      <c r="F281" s="39"/>
      <c r="G281" s="40"/>
      <c r="H281" s="40">
        <f>H282+H288+H294</f>
        <v>25804254.810000002</v>
      </c>
    </row>
    <row r="282" spans="1:8" x14ac:dyDescent="0.25">
      <c r="A282" s="41" t="s">
        <v>52</v>
      </c>
      <c r="B282" s="42" t="s">
        <v>42</v>
      </c>
      <c r="C282" s="43"/>
      <c r="D282" s="44"/>
      <c r="E282" s="45" t="s">
        <v>20</v>
      </c>
      <c r="F282" s="46">
        <v>2972.7</v>
      </c>
      <c r="G282" s="46">
        <f>ROUND((H283+H284)/F282,2)</f>
        <v>3920.9</v>
      </c>
      <c r="H282" s="58">
        <f>ROUND(G282*F282,2)</f>
        <v>11655659.43</v>
      </c>
    </row>
    <row r="283" spans="1:8" x14ac:dyDescent="0.25">
      <c r="A283" s="24"/>
      <c r="B283" s="47" t="s">
        <v>21</v>
      </c>
      <c r="C283" s="25"/>
      <c r="D283" s="26"/>
      <c r="E283" s="27" t="s">
        <v>20</v>
      </c>
      <c r="F283" s="28">
        <f>F282</f>
        <v>2972.7</v>
      </c>
      <c r="G283" s="27">
        <v>800</v>
      </c>
      <c r="H283" s="29">
        <f>G283*F283</f>
        <v>2378160</v>
      </c>
    </row>
    <row r="284" spans="1:8" x14ac:dyDescent="0.25">
      <c r="A284" s="24"/>
      <c r="B284" s="48" t="s">
        <v>22</v>
      </c>
      <c r="C284" s="25"/>
      <c r="D284" s="26"/>
      <c r="E284" s="49"/>
      <c r="F284" s="28"/>
      <c r="G284" s="27">
        <f>H284/F282</f>
        <v>3120.8999999999996</v>
      </c>
      <c r="H284" s="29">
        <f>SUM(H285:H287)</f>
        <v>9277499.4299999978</v>
      </c>
    </row>
    <row r="285" spans="1:8" x14ac:dyDescent="0.25">
      <c r="A285" s="24"/>
      <c r="B285" s="50"/>
      <c r="C285" s="53" t="s">
        <v>43</v>
      </c>
      <c r="D285" s="31">
        <v>1.2</v>
      </c>
      <c r="E285" s="32" t="s">
        <v>20</v>
      </c>
      <c r="F285" s="51">
        <f>(D285*F282)</f>
        <v>3567.24</v>
      </c>
      <c r="G285" s="52">
        <v>2350</v>
      </c>
      <c r="H285" s="29">
        <f t="shared" ref="H285:H286" si="39">G285*F285</f>
        <v>8383013.9999999991</v>
      </c>
    </row>
    <row r="286" spans="1:8" x14ac:dyDescent="0.25">
      <c r="A286" s="24"/>
      <c r="B286" s="50"/>
      <c r="C286" s="53" t="s">
        <v>44</v>
      </c>
      <c r="D286" s="31">
        <v>7</v>
      </c>
      <c r="E286" s="32" t="s">
        <v>29</v>
      </c>
      <c r="F286" s="51">
        <f>(D286*F282)</f>
        <v>20808.899999999998</v>
      </c>
      <c r="G286" s="52">
        <v>30</v>
      </c>
      <c r="H286" s="29">
        <f t="shared" si="39"/>
        <v>624266.99999999988</v>
      </c>
    </row>
    <row r="287" spans="1:8" x14ac:dyDescent="0.25">
      <c r="A287" s="30"/>
      <c r="B287" s="50"/>
      <c r="C287" s="50" t="s">
        <v>107</v>
      </c>
      <c r="D287" s="77" t="s">
        <v>108</v>
      </c>
      <c r="E287" s="32"/>
      <c r="F287" s="33"/>
      <c r="G287" s="34"/>
      <c r="H287" s="29">
        <f>SUM(H285:H286)*0.03</f>
        <v>270218.42999999993</v>
      </c>
    </row>
    <row r="288" spans="1:8" x14ac:dyDescent="0.25">
      <c r="A288" s="41" t="s">
        <v>54</v>
      </c>
      <c r="B288" s="42" t="s">
        <v>46</v>
      </c>
      <c r="C288" s="43"/>
      <c r="D288" s="44"/>
      <c r="E288" s="45" t="s">
        <v>20</v>
      </c>
      <c r="F288" s="46">
        <f>F282</f>
        <v>2972.7</v>
      </c>
      <c r="G288" s="46">
        <f>ROUND((H289+H290)/F288,2)</f>
        <v>931.31</v>
      </c>
      <c r="H288" s="58">
        <f>ROUND(G288*F288,2)</f>
        <v>2768505.24</v>
      </c>
    </row>
    <row r="289" spans="1:8" x14ac:dyDescent="0.25">
      <c r="A289" s="24"/>
      <c r="B289" s="47" t="s">
        <v>21</v>
      </c>
      <c r="C289" s="25"/>
      <c r="D289" s="26"/>
      <c r="E289" s="27" t="s">
        <v>20</v>
      </c>
      <c r="F289" s="28">
        <f>F288</f>
        <v>2972.7</v>
      </c>
      <c r="G289" s="27">
        <v>350</v>
      </c>
      <c r="H289" s="29">
        <f>G289*F289</f>
        <v>1040444.9999999999</v>
      </c>
    </row>
    <row r="290" spans="1:8" x14ac:dyDescent="0.25">
      <c r="A290" s="24"/>
      <c r="B290" s="48" t="s">
        <v>22</v>
      </c>
      <c r="C290" s="25"/>
      <c r="D290" s="26"/>
      <c r="E290" s="49"/>
      <c r="F290" s="28"/>
      <c r="G290" s="27">
        <f>H290/F288</f>
        <v>581.30624999999998</v>
      </c>
      <c r="H290" s="29">
        <f>SUM(H291:H293)</f>
        <v>1728049.0893749997</v>
      </c>
    </row>
    <row r="291" spans="1:8" ht="25.5" x14ac:dyDescent="0.25">
      <c r="A291" s="24"/>
      <c r="B291" s="50"/>
      <c r="C291" s="50" t="s">
        <v>104</v>
      </c>
      <c r="D291" s="31">
        <f>0.15*1.05</f>
        <v>0.1575</v>
      </c>
      <c r="E291" s="32" t="s">
        <v>25</v>
      </c>
      <c r="F291" s="51">
        <f>(D291*F288)</f>
        <v>468.20024999999998</v>
      </c>
      <c r="G291" s="52">
        <v>2650</v>
      </c>
      <c r="H291" s="29">
        <f t="shared" ref="H291:H292" si="40">G291*F291</f>
        <v>1240730.6624999999</v>
      </c>
    </row>
    <row r="292" spans="1:8" x14ac:dyDescent="0.25">
      <c r="A292" s="24"/>
      <c r="B292" s="50"/>
      <c r="C292" s="50" t="s">
        <v>28</v>
      </c>
      <c r="D292" s="31">
        <v>14</v>
      </c>
      <c r="E292" s="32" t="s">
        <v>29</v>
      </c>
      <c r="F292" s="51">
        <f>(D292*F288)</f>
        <v>41617.799999999996</v>
      </c>
      <c r="G292" s="52">
        <v>10.5</v>
      </c>
      <c r="H292" s="29">
        <f t="shared" si="40"/>
        <v>436986.89999999997</v>
      </c>
    </row>
    <row r="293" spans="1:8" x14ac:dyDescent="0.25">
      <c r="A293" s="30"/>
      <c r="B293" s="50"/>
      <c r="C293" s="50" t="s">
        <v>107</v>
      </c>
      <c r="D293" s="77" t="s">
        <v>108</v>
      </c>
      <c r="E293" s="32"/>
      <c r="F293" s="33"/>
      <c r="G293" s="34"/>
      <c r="H293" s="29">
        <f>SUM(H291:H292)*0.03</f>
        <v>50331.526874999989</v>
      </c>
    </row>
    <row r="294" spans="1:8" x14ac:dyDescent="0.25">
      <c r="A294" s="41" t="s">
        <v>55</v>
      </c>
      <c r="B294" s="42" t="s">
        <v>48</v>
      </c>
      <c r="C294" s="43"/>
      <c r="D294" s="44"/>
      <c r="E294" s="45" t="s">
        <v>20</v>
      </c>
      <c r="F294" s="46">
        <f>F282</f>
        <v>2972.7</v>
      </c>
      <c r="G294" s="46">
        <f>ROUND((H295+H296)/F294,2)</f>
        <v>3828.2</v>
      </c>
      <c r="H294" s="58">
        <f>ROUND(G294*F294,2)</f>
        <v>11380090.140000001</v>
      </c>
    </row>
    <row r="295" spans="1:8" x14ac:dyDescent="0.25">
      <c r="A295" s="24"/>
      <c r="B295" s="47" t="s">
        <v>21</v>
      </c>
      <c r="C295" s="25"/>
      <c r="D295" s="26"/>
      <c r="E295" s="27" t="s">
        <v>20</v>
      </c>
      <c r="F295" s="28">
        <f>F294</f>
        <v>2972.7</v>
      </c>
      <c r="G295" s="27">
        <v>800</v>
      </c>
      <c r="H295" s="29">
        <f>G295*F295</f>
        <v>2378160</v>
      </c>
    </row>
    <row r="296" spans="1:8" x14ac:dyDescent="0.25">
      <c r="A296" s="24"/>
      <c r="B296" s="48" t="s">
        <v>22</v>
      </c>
      <c r="C296" s="25"/>
      <c r="D296" s="26"/>
      <c r="E296" s="49"/>
      <c r="F296" s="28"/>
      <c r="G296" s="27">
        <f>H296/F294</f>
        <v>3028.2000000000003</v>
      </c>
      <c r="H296" s="29">
        <f>SUM(H297:H298)</f>
        <v>9001930.1400000006</v>
      </c>
    </row>
    <row r="297" spans="1:8" x14ac:dyDescent="0.25">
      <c r="A297" s="24"/>
      <c r="B297" s="50"/>
      <c r="C297" s="50" t="s">
        <v>49</v>
      </c>
      <c r="D297" s="31">
        <v>1.4</v>
      </c>
      <c r="E297" s="32" t="s">
        <v>20</v>
      </c>
      <c r="F297" s="51">
        <f>(D297*F294)</f>
        <v>4161.78</v>
      </c>
      <c r="G297" s="52">
        <v>2100</v>
      </c>
      <c r="H297" s="29">
        <f t="shared" ref="H297" si="41">G297*F297</f>
        <v>8739738</v>
      </c>
    </row>
    <row r="298" spans="1:8" x14ac:dyDescent="0.25">
      <c r="A298" s="30"/>
      <c r="B298" s="50"/>
      <c r="C298" s="50" t="s">
        <v>107</v>
      </c>
      <c r="D298" s="77" t="s">
        <v>108</v>
      </c>
      <c r="E298" s="32"/>
      <c r="F298" s="33"/>
      <c r="G298" s="34"/>
      <c r="H298" s="29">
        <f>SUM(H297)*0.03</f>
        <v>262192.14</v>
      </c>
    </row>
    <row r="299" spans="1:8" x14ac:dyDescent="0.25">
      <c r="A299" s="35" t="s">
        <v>50</v>
      </c>
      <c r="B299" s="36" t="s">
        <v>40</v>
      </c>
      <c r="C299" s="36"/>
      <c r="D299" s="37"/>
      <c r="E299" s="38"/>
      <c r="F299" s="39"/>
      <c r="G299" s="40"/>
      <c r="H299" s="40">
        <f>H300+H306+H312</f>
        <v>346771.8</v>
      </c>
    </row>
    <row r="300" spans="1:8" x14ac:dyDescent="0.25">
      <c r="A300" s="41" t="s">
        <v>52</v>
      </c>
      <c r="B300" s="42" t="s">
        <v>42</v>
      </c>
      <c r="C300" s="43"/>
      <c r="D300" s="44"/>
      <c r="E300" s="45" t="s">
        <v>20</v>
      </c>
      <c r="F300" s="46">
        <v>39.299999999999997</v>
      </c>
      <c r="G300" s="46">
        <f>ROUND((H301+H302)/F300,2)</f>
        <v>3920.9</v>
      </c>
      <c r="H300" s="58">
        <f>ROUND(G300*F300,2)</f>
        <v>154091.37</v>
      </c>
    </row>
    <row r="301" spans="1:8" x14ac:dyDescent="0.25">
      <c r="A301" s="24"/>
      <c r="B301" s="47" t="s">
        <v>21</v>
      </c>
      <c r="C301" s="25"/>
      <c r="D301" s="26"/>
      <c r="E301" s="27" t="s">
        <v>20</v>
      </c>
      <c r="F301" s="28">
        <f>F300</f>
        <v>39.299999999999997</v>
      </c>
      <c r="G301" s="27">
        <v>800</v>
      </c>
      <c r="H301" s="29">
        <f>G301*F301</f>
        <v>31439.999999999996</v>
      </c>
    </row>
    <row r="302" spans="1:8" x14ac:dyDescent="0.25">
      <c r="A302" s="24"/>
      <c r="B302" s="48" t="s">
        <v>22</v>
      </c>
      <c r="C302" s="25"/>
      <c r="D302" s="26"/>
      <c r="E302" s="49"/>
      <c r="F302" s="28"/>
      <c r="G302" s="27">
        <f>H302/F300</f>
        <v>3120.8999999999996</v>
      </c>
      <c r="H302" s="29">
        <f>SUM(H303:H305)</f>
        <v>122651.36999999998</v>
      </c>
    </row>
    <row r="303" spans="1:8" x14ac:dyDescent="0.25">
      <c r="A303" s="24"/>
      <c r="B303" s="50"/>
      <c r="C303" s="53" t="s">
        <v>43</v>
      </c>
      <c r="D303" s="31">
        <v>1.2</v>
      </c>
      <c r="E303" s="32" t="s">
        <v>20</v>
      </c>
      <c r="F303" s="51">
        <f>(D303*F300)</f>
        <v>47.16</v>
      </c>
      <c r="G303" s="52">
        <v>2350</v>
      </c>
      <c r="H303" s="29">
        <f t="shared" ref="H303:H304" si="42">G303*F303</f>
        <v>110825.99999999999</v>
      </c>
    </row>
    <row r="304" spans="1:8" x14ac:dyDescent="0.25">
      <c r="A304" s="24"/>
      <c r="B304" s="50"/>
      <c r="C304" s="53" t="s">
        <v>44</v>
      </c>
      <c r="D304" s="31">
        <v>7</v>
      </c>
      <c r="E304" s="32" t="s">
        <v>29</v>
      </c>
      <c r="F304" s="51">
        <f>(D304*F300)</f>
        <v>275.09999999999997</v>
      </c>
      <c r="G304" s="52">
        <v>30</v>
      </c>
      <c r="H304" s="29">
        <f t="shared" si="42"/>
        <v>8252.9999999999982</v>
      </c>
    </row>
    <row r="305" spans="1:8" x14ac:dyDescent="0.25">
      <c r="A305" s="30"/>
      <c r="B305" s="50"/>
      <c r="C305" s="50" t="s">
        <v>107</v>
      </c>
      <c r="D305" s="77" t="s">
        <v>108</v>
      </c>
      <c r="E305" s="32"/>
      <c r="F305" s="33"/>
      <c r="G305" s="34"/>
      <c r="H305" s="29">
        <f>SUM(H303:H304)*0.03</f>
        <v>3572.3699999999994</v>
      </c>
    </row>
    <row r="306" spans="1:8" x14ac:dyDescent="0.25">
      <c r="A306" s="41" t="s">
        <v>54</v>
      </c>
      <c r="B306" s="42" t="s">
        <v>46</v>
      </c>
      <c r="C306" s="43"/>
      <c r="D306" s="44"/>
      <c r="E306" s="45" t="s">
        <v>20</v>
      </c>
      <c r="F306" s="46">
        <f>F300</f>
        <v>39.299999999999997</v>
      </c>
      <c r="G306" s="46">
        <f>ROUND((H307+H308)/F306,2)</f>
        <v>1074.6099999999999</v>
      </c>
      <c r="H306" s="58">
        <f>ROUND(G306*F306,2)</f>
        <v>42232.17</v>
      </c>
    </row>
    <row r="307" spans="1:8" x14ac:dyDescent="0.25">
      <c r="A307" s="24"/>
      <c r="B307" s="47" t="s">
        <v>21</v>
      </c>
      <c r="C307" s="25"/>
      <c r="D307" s="26"/>
      <c r="E307" s="27" t="s">
        <v>20</v>
      </c>
      <c r="F307" s="28">
        <f>F306</f>
        <v>39.299999999999997</v>
      </c>
      <c r="G307" s="27">
        <v>350</v>
      </c>
      <c r="H307" s="29">
        <f>G307*F307</f>
        <v>13754.999999999998</v>
      </c>
    </row>
    <row r="308" spans="1:8" x14ac:dyDescent="0.25">
      <c r="A308" s="24"/>
      <c r="B308" s="48" t="s">
        <v>22</v>
      </c>
      <c r="C308" s="25"/>
      <c r="D308" s="26"/>
      <c r="E308" s="49"/>
      <c r="F308" s="28"/>
      <c r="G308" s="27">
        <f>H308/F306</f>
        <v>724.60500000000002</v>
      </c>
      <c r="H308" s="29">
        <f>SUM(H309:H311)</f>
        <v>28476.976500000001</v>
      </c>
    </row>
    <row r="309" spans="1:8" ht="25.5" x14ac:dyDescent="0.25">
      <c r="A309" s="24"/>
      <c r="B309" s="50"/>
      <c r="C309" s="50" t="s">
        <v>124</v>
      </c>
      <c r="D309" s="31">
        <f>0.2*1.05</f>
        <v>0.21000000000000002</v>
      </c>
      <c r="E309" s="32" t="s">
        <v>25</v>
      </c>
      <c r="F309" s="51">
        <f>(D309*F306)</f>
        <v>8.2530000000000001</v>
      </c>
      <c r="G309" s="52">
        <v>2650</v>
      </c>
      <c r="H309" s="29">
        <f t="shared" ref="H309:H310" si="43">G309*F309</f>
        <v>21870.45</v>
      </c>
    </row>
    <row r="310" spans="1:8" x14ac:dyDescent="0.25">
      <c r="A310" s="24"/>
      <c r="B310" s="50"/>
      <c r="C310" s="50" t="s">
        <v>28</v>
      </c>
      <c r="D310" s="31">
        <v>14</v>
      </c>
      <c r="E310" s="32" t="s">
        <v>29</v>
      </c>
      <c r="F310" s="51">
        <f>(D310*F306)</f>
        <v>550.19999999999993</v>
      </c>
      <c r="G310" s="52">
        <v>10.5</v>
      </c>
      <c r="H310" s="29">
        <f t="shared" si="43"/>
        <v>5777.0999999999995</v>
      </c>
    </row>
    <row r="311" spans="1:8" x14ac:dyDescent="0.25">
      <c r="A311" s="30"/>
      <c r="B311" s="50"/>
      <c r="C311" s="50" t="s">
        <v>107</v>
      </c>
      <c r="D311" s="77" t="s">
        <v>108</v>
      </c>
      <c r="E311" s="32"/>
      <c r="F311" s="33"/>
      <c r="G311" s="34"/>
      <c r="H311" s="29">
        <f>SUM(H309:H310)*0.03</f>
        <v>829.42649999999992</v>
      </c>
    </row>
    <row r="312" spans="1:8" x14ac:dyDescent="0.25">
      <c r="A312" s="41" t="s">
        <v>55</v>
      </c>
      <c r="B312" s="42" t="s">
        <v>48</v>
      </c>
      <c r="C312" s="43"/>
      <c r="D312" s="44"/>
      <c r="E312" s="45" t="s">
        <v>20</v>
      </c>
      <c r="F312" s="46">
        <f>F300</f>
        <v>39.299999999999997</v>
      </c>
      <c r="G312" s="46">
        <f>ROUND((H313+H314)/F312,2)</f>
        <v>3828.2</v>
      </c>
      <c r="H312" s="58">
        <f>ROUND(G312*F312,2)</f>
        <v>150448.26</v>
      </c>
    </row>
    <row r="313" spans="1:8" x14ac:dyDescent="0.25">
      <c r="A313" s="24"/>
      <c r="B313" s="47" t="s">
        <v>21</v>
      </c>
      <c r="C313" s="25"/>
      <c r="D313" s="26"/>
      <c r="E313" s="27" t="s">
        <v>20</v>
      </c>
      <c r="F313" s="28">
        <f>F312</f>
        <v>39.299999999999997</v>
      </c>
      <c r="G313" s="27">
        <v>800</v>
      </c>
      <c r="H313" s="29">
        <f>G313*F313</f>
        <v>31439.999999999996</v>
      </c>
    </row>
    <row r="314" spans="1:8" x14ac:dyDescent="0.25">
      <c r="A314" s="24"/>
      <c r="B314" s="48" t="s">
        <v>22</v>
      </c>
      <c r="C314" s="25"/>
      <c r="D314" s="26"/>
      <c r="E314" s="49"/>
      <c r="F314" s="28"/>
      <c r="G314" s="27">
        <f>H314/F312</f>
        <v>3028.2</v>
      </c>
      <c r="H314" s="29">
        <f>SUM(H315:H316)</f>
        <v>119008.25999999998</v>
      </c>
    </row>
    <row r="315" spans="1:8" x14ac:dyDescent="0.25">
      <c r="A315" s="24"/>
      <c r="B315" s="50"/>
      <c r="C315" s="50" t="s">
        <v>49</v>
      </c>
      <c r="D315" s="31">
        <v>1.4</v>
      </c>
      <c r="E315" s="32" t="s">
        <v>20</v>
      </c>
      <c r="F315" s="51">
        <f>(D315*F312)</f>
        <v>55.019999999999996</v>
      </c>
      <c r="G315" s="52">
        <v>2100</v>
      </c>
      <c r="H315" s="29">
        <f t="shared" ref="H315" si="44">G315*F315</f>
        <v>115541.99999999999</v>
      </c>
    </row>
    <row r="316" spans="1:8" x14ac:dyDescent="0.25">
      <c r="A316" s="30"/>
      <c r="B316" s="50"/>
      <c r="C316" s="50" t="s">
        <v>107</v>
      </c>
      <c r="D316" s="77" t="s">
        <v>108</v>
      </c>
      <c r="E316" s="32"/>
      <c r="F316" s="33"/>
      <c r="G316" s="34"/>
      <c r="H316" s="29">
        <f>SUM(H315)*0.03</f>
        <v>3466.2599999999993</v>
      </c>
    </row>
    <row r="317" spans="1:8" x14ac:dyDescent="0.25">
      <c r="A317" s="35" t="s">
        <v>58</v>
      </c>
      <c r="B317" s="36" t="s">
        <v>63</v>
      </c>
      <c r="C317" s="36"/>
      <c r="D317" s="37"/>
      <c r="E317" s="38"/>
      <c r="F317" s="39"/>
      <c r="G317" s="40"/>
      <c r="H317" s="40">
        <f>H318+H324+H330</f>
        <v>873577.06</v>
      </c>
    </row>
    <row r="318" spans="1:8" x14ac:dyDescent="0.25">
      <c r="A318" s="41" t="s">
        <v>59</v>
      </c>
      <c r="B318" s="42" t="s">
        <v>65</v>
      </c>
      <c r="C318" s="43"/>
      <c r="D318" s="44"/>
      <c r="E318" s="45" t="s">
        <v>20</v>
      </c>
      <c r="F318" s="46">
        <v>214.6</v>
      </c>
      <c r="G318" s="46">
        <f>ROUND((H319+H320)/F318,2)</f>
        <v>3920.9</v>
      </c>
      <c r="H318" s="58">
        <f>ROUND(G318*F318,2)</f>
        <v>841425.14</v>
      </c>
    </row>
    <row r="319" spans="1:8" x14ac:dyDescent="0.25">
      <c r="A319" s="24"/>
      <c r="B319" s="47" t="s">
        <v>21</v>
      </c>
      <c r="C319" s="25"/>
      <c r="D319" s="26"/>
      <c r="E319" s="27" t="s">
        <v>20</v>
      </c>
      <c r="F319" s="28">
        <f>F318</f>
        <v>214.6</v>
      </c>
      <c r="G319" s="27">
        <v>800</v>
      </c>
      <c r="H319" s="29">
        <f>G319*F319</f>
        <v>171680</v>
      </c>
    </row>
    <row r="320" spans="1:8" x14ac:dyDescent="0.25">
      <c r="A320" s="24"/>
      <c r="B320" s="48" t="s">
        <v>22</v>
      </c>
      <c r="C320" s="25"/>
      <c r="D320" s="26"/>
      <c r="E320" s="49"/>
      <c r="F320" s="28"/>
      <c r="G320" s="27">
        <f>H320/F318</f>
        <v>3120.9</v>
      </c>
      <c r="H320" s="29">
        <f>SUM(H321:H323)</f>
        <v>669745.14</v>
      </c>
    </row>
    <row r="321" spans="1:8" x14ac:dyDescent="0.25">
      <c r="A321" s="24"/>
      <c r="B321" s="50"/>
      <c r="C321" s="53" t="s">
        <v>43</v>
      </c>
      <c r="D321" s="31">
        <v>1.2</v>
      </c>
      <c r="E321" s="32" t="s">
        <v>20</v>
      </c>
      <c r="F321" s="51">
        <f>(D321*F318)</f>
        <v>257.52</v>
      </c>
      <c r="G321" s="52">
        <v>2350</v>
      </c>
      <c r="H321" s="29">
        <f t="shared" ref="H321:H322" si="45">G321*F321</f>
        <v>605172</v>
      </c>
    </row>
    <row r="322" spans="1:8" x14ac:dyDescent="0.25">
      <c r="A322" s="24"/>
      <c r="B322" s="50"/>
      <c r="C322" s="50" t="s">
        <v>44</v>
      </c>
      <c r="D322" s="31">
        <v>7</v>
      </c>
      <c r="E322" s="32" t="s">
        <v>29</v>
      </c>
      <c r="F322" s="51">
        <f>(D322*F318)</f>
        <v>1502.2</v>
      </c>
      <c r="G322" s="52">
        <v>30</v>
      </c>
      <c r="H322" s="29">
        <f t="shared" si="45"/>
        <v>45066</v>
      </c>
    </row>
    <row r="323" spans="1:8" x14ac:dyDescent="0.25">
      <c r="A323" s="30"/>
      <c r="B323" s="50"/>
      <c r="C323" s="50" t="s">
        <v>107</v>
      </c>
      <c r="D323" s="77" t="s">
        <v>108</v>
      </c>
      <c r="E323" s="32"/>
      <c r="F323" s="33"/>
      <c r="G323" s="34"/>
      <c r="H323" s="29">
        <f>SUM(H321:H322)*0.03</f>
        <v>19507.14</v>
      </c>
    </row>
    <row r="324" spans="1:8" x14ac:dyDescent="0.25">
      <c r="A324" s="41" t="s">
        <v>60</v>
      </c>
      <c r="B324" s="42" t="s">
        <v>67</v>
      </c>
      <c r="C324" s="43"/>
      <c r="D324" s="44"/>
      <c r="E324" s="45" t="s">
        <v>20</v>
      </c>
      <c r="F324" s="46">
        <v>4.7279999999999998</v>
      </c>
      <c r="G324" s="46">
        <f>ROUND((H325+H326)/F324,2)</f>
        <v>1219.1500000000001</v>
      </c>
      <c r="H324" s="58">
        <f>ROUND(G324*F324,2)</f>
        <v>5764.14</v>
      </c>
    </row>
    <row r="325" spans="1:8" x14ac:dyDescent="0.25">
      <c r="A325" s="24"/>
      <c r="B325" s="47" t="s">
        <v>21</v>
      </c>
      <c r="C325" s="25"/>
      <c r="D325" s="26"/>
      <c r="E325" s="27" t="s">
        <v>20</v>
      </c>
      <c r="F325" s="28">
        <f>F324</f>
        <v>4.7279999999999998</v>
      </c>
      <c r="G325" s="78">
        <v>390</v>
      </c>
      <c r="H325" s="29">
        <f>G325*F325</f>
        <v>1843.9199999999998</v>
      </c>
    </row>
    <row r="326" spans="1:8" x14ac:dyDescent="0.25">
      <c r="A326" s="24"/>
      <c r="B326" s="48" t="s">
        <v>22</v>
      </c>
      <c r="C326" s="25"/>
      <c r="D326" s="26"/>
      <c r="E326" s="49"/>
      <c r="F326" s="28"/>
      <c r="G326" s="27">
        <f>H326/F324</f>
        <v>829.15</v>
      </c>
      <c r="H326" s="29">
        <f>SUM(H327:H329)</f>
        <v>3920.2212</v>
      </c>
    </row>
    <row r="327" spans="1:8" ht="25.5" x14ac:dyDescent="0.25">
      <c r="A327" s="24"/>
      <c r="B327" s="50"/>
      <c r="C327" s="50" t="s">
        <v>102</v>
      </c>
      <c r="D327" s="31">
        <f>0.2*1.05</f>
        <v>0.21000000000000002</v>
      </c>
      <c r="E327" s="32" t="s">
        <v>25</v>
      </c>
      <c r="F327" s="51">
        <f>(D327*F324)</f>
        <v>0.9928800000000001</v>
      </c>
      <c r="G327" s="52">
        <v>3000</v>
      </c>
      <c r="H327" s="29">
        <f t="shared" ref="H327:H328" si="46">G327*F327</f>
        <v>2978.6400000000003</v>
      </c>
    </row>
    <row r="328" spans="1:8" x14ac:dyDescent="0.25">
      <c r="A328" s="24"/>
      <c r="B328" s="50"/>
      <c r="C328" s="50" t="s">
        <v>68</v>
      </c>
      <c r="D328" s="31">
        <v>14</v>
      </c>
      <c r="E328" s="32" t="s">
        <v>29</v>
      </c>
      <c r="F328" s="51">
        <f>(D328*F324)</f>
        <v>66.191999999999993</v>
      </c>
      <c r="G328" s="52">
        <v>12.5</v>
      </c>
      <c r="H328" s="29">
        <f t="shared" si="46"/>
        <v>827.39999999999986</v>
      </c>
    </row>
    <row r="329" spans="1:8" x14ac:dyDescent="0.25">
      <c r="A329" s="30"/>
      <c r="B329" s="50"/>
      <c r="C329" s="50" t="s">
        <v>107</v>
      </c>
      <c r="D329" s="77" t="s">
        <v>108</v>
      </c>
      <c r="E329" s="32"/>
      <c r="F329" s="33"/>
      <c r="G329" s="34"/>
      <c r="H329" s="29">
        <f>SUM(H327:H328)*0.03</f>
        <v>114.18119999999999</v>
      </c>
    </row>
    <row r="330" spans="1:8" x14ac:dyDescent="0.25">
      <c r="A330" s="41" t="s">
        <v>61</v>
      </c>
      <c r="B330" s="42" t="s">
        <v>70</v>
      </c>
      <c r="C330" s="43"/>
      <c r="D330" s="44"/>
      <c r="E330" s="45" t="s">
        <v>20</v>
      </c>
      <c r="F330" s="46">
        <v>6.8929999999999998</v>
      </c>
      <c r="G330" s="46">
        <f>ROUND((H331+H332)/F330,2)</f>
        <v>3828.2</v>
      </c>
      <c r="H330" s="58">
        <f>ROUND(G330*F330,2)</f>
        <v>26387.78</v>
      </c>
    </row>
    <row r="331" spans="1:8" x14ac:dyDescent="0.25">
      <c r="A331" s="24"/>
      <c r="B331" s="47" t="s">
        <v>21</v>
      </c>
      <c r="C331" s="25"/>
      <c r="D331" s="26"/>
      <c r="E331" s="27" t="s">
        <v>20</v>
      </c>
      <c r="F331" s="28">
        <f>F330</f>
        <v>6.8929999999999998</v>
      </c>
      <c r="G331" s="27">
        <v>800</v>
      </c>
      <c r="H331" s="29">
        <f>G331*F331</f>
        <v>5514.4</v>
      </c>
    </row>
    <row r="332" spans="1:8" x14ac:dyDescent="0.25">
      <c r="A332" s="24"/>
      <c r="B332" s="48" t="s">
        <v>22</v>
      </c>
      <c r="C332" s="25"/>
      <c r="D332" s="26"/>
      <c r="E332" s="49"/>
      <c r="F332" s="28"/>
      <c r="G332" s="27">
        <f>H332/F330</f>
        <v>3028.2</v>
      </c>
      <c r="H332" s="29">
        <f>SUM(H333:H334)</f>
        <v>20873.382599999997</v>
      </c>
    </row>
    <row r="333" spans="1:8" x14ac:dyDescent="0.25">
      <c r="A333" s="24"/>
      <c r="B333" s="50"/>
      <c r="C333" s="50" t="s">
        <v>49</v>
      </c>
      <c r="D333" s="31">
        <v>1.4</v>
      </c>
      <c r="E333" s="32" t="s">
        <v>20</v>
      </c>
      <c r="F333" s="51">
        <f>(D333*F330)</f>
        <v>9.6501999999999999</v>
      </c>
      <c r="G333" s="52">
        <v>2100</v>
      </c>
      <c r="H333" s="29">
        <f t="shared" ref="H333" si="47">G333*F333</f>
        <v>20265.419999999998</v>
      </c>
    </row>
    <row r="334" spans="1:8" x14ac:dyDescent="0.25">
      <c r="A334" s="30"/>
      <c r="B334" s="50"/>
      <c r="C334" s="50" t="s">
        <v>107</v>
      </c>
      <c r="D334" s="77" t="s">
        <v>108</v>
      </c>
      <c r="E334" s="32"/>
      <c r="F334" s="33"/>
      <c r="G334" s="34"/>
      <c r="H334" s="29">
        <f>SUM(H333)*0.03</f>
        <v>607.96259999999995</v>
      </c>
    </row>
    <row r="335" spans="1:8" x14ac:dyDescent="0.25">
      <c r="A335" s="35" t="s">
        <v>62</v>
      </c>
      <c r="B335" s="36" t="s">
        <v>51</v>
      </c>
      <c r="C335" s="36"/>
      <c r="D335" s="37"/>
      <c r="E335" s="38"/>
      <c r="F335" s="39"/>
      <c r="G335" s="40"/>
      <c r="H335" s="40">
        <f>H336+H342+H348</f>
        <v>17272584.579999998</v>
      </c>
    </row>
    <row r="336" spans="1:8" x14ac:dyDescent="0.25">
      <c r="A336" s="41" t="s">
        <v>64</v>
      </c>
      <c r="B336" s="42" t="s">
        <v>42</v>
      </c>
      <c r="C336" s="43"/>
      <c r="D336" s="44"/>
      <c r="E336" s="45" t="s">
        <v>20</v>
      </c>
      <c r="F336" s="46">
        <v>1497.6</v>
      </c>
      <c r="G336" s="46">
        <f>ROUND((H337+H338)/F336,2)</f>
        <v>3241.1</v>
      </c>
      <c r="H336" s="58">
        <f>ROUND(G336*F336,2)</f>
        <v>4853871.3600000003</v>
      </c>
    </row>
    <row r="337" spans="1:8" x14ac:dyDescent="0.25">
      <c r="A337" s="24"/>
      <c r="B337" s="47" t="s">
        <v>21</v>
      </c>
      <c r="C337" s="25"/>
      <c r="D337" s="26"/>
      <c r="E337" s="27" t="s">
        <v>20</v>
      </c>
      <c r="F337" s="28">
        <f>F336</f>
        <v>1497.6</v>
      </c>
      <c r="G337" s="27">
        <v>800</v>
      </c>
      <c r="H337" s="29">
        <f>G337*F337</f>
        <v>1198080</v>
      </c>
    </row>
    <row r="338" spans="1:8" x14ac:dyDescent="0.25">
      <c r="A338" s="24"/>
      <c r="B338" s="48" t="s">
        <v>22</v>
      </c>
      <c r="C338" s="25"/>
      <c r="D338" s="26"/>
      <c r="E338" s="49"/>
      <c r="F338" s="28"/>
      <c r="G338" s="27">
        <f>H338/F336</f>
        <v>2441.1</v>
      </c>
      <c r="H338" s="29">
        <f>SUM(H339:H341)</f>
        <v>3655791.36</v>
      </c>
    </row>
    <row r="339" spans="1:8" x14ac:dyDescent="0.25">
      <c r="A339" s="24"/>
      <c r="B339" s="50"/>
      <c r="C339" s="50" t="s">
        <v>53</v>
      </c>
      <c r="D339" s="31">
        <v>1.2</v>
      </c>
      <c r="E339" s="32" t="s">
        <v>20</v>
      </c>
      <c r="F339" s="51">
        <f>(D339*F336)</f>
        <v>1797.12</v>
      </c>
      <c r="G339" s="52">
        <v>1800</v>
      </c>
      <c r="H339" s="29">
        <f t="shared" ref="H339:H340" si="48">G339*F339</f>
        <v>3234816</v>
      </c>
    </row>
    <row r="340" spans="1:8" x14ac:dyDescent="0.25">
      <c r="A340" s="24"/>
      <c r="B340" s="50"/>
      <c r="C340" s="50" t="s">
        <v>44</v>
      </c>
      <c r="D340" s="31">
        <v>7</v>
      </c>
      <c r="E340" s="32" t="s">
        <v>29</v>
      </c>
      <c r="F340" s="51">
        <f>(D340*F336)</f>
        <v>10483.199999999999</v>
      </c>
      <c r="G340" s="52">
        <v>30</v>
      </c>
      <c r="H340" s="29">
        <f t="shared" si="48"/>
        <v>314495.99999999994</v>
      </c>
    </row>
    <row r="341" spans="1:8" x14ac:dyDescent="0.25">
      <c r="A341" s="30"/>
      <c r="B341" s="50"/>
      <c r="C341" s="50" t="s">
        <v>107</v>
      </c>
      <c r="D341" s="77" t="s">
        <v>108</v>
      </c>
      <c r="E341" s="32"/>
      <c r="F341" s="33"/>
      <c r="G341" s="34"/>
      <c r="H341" s="29">
        <f>SUM(H339:H340)*0.03</f>
        <v>106479.36</v>
      </c>
    </row>
    <row r="342" spans="1:8" x14ac:dyDescent="0.25">
      <c r="A342" s="41" t="s">
        <v>66</v>
      </c>
      <c r="B342" s="42" t="s">
        <v>46</v>
      </c>
      <c r="C342" s="43"/>
      <c r="D342" s="44"/>
      <c r="E342" s="45" t="s">
        <v>20</v>
      </c>
      <c r="F342" s="46">
        <f>F336</f>
        <v>1497.6</v>
      </c>
      <c r="G342" s="46">
        <f>ROUND((H343+H344)/F342,2)</f>
        <v>931.31</v>
      </c>
      <c r="H342" s="58">
        <f>ROUND(G342*F342,2)</f>
        <v>1394729.86</v>
      </c>
    </row>
    <row r="343" spans="1:8" x14ac:dyDescent="0.25">
      <c r="A343" s="24"/>
      <c r="B343" s="47" t="s">
        <v>21</v>
      </c>
      <c r="C343" s="25"/>
      <c r="D343" s="26"/>
      <c r="E343" s="27" t="s">
        <v>20</v>
      </c>
      <c r="F343" s="28">
        <f>F342</f>
        <v>1497.6</v>
      </c>
      <c r="G343" s="27">
        <v>350</v>
      </c>
      <c r="H343" s="29">
        <f>G343*F343</f>
        <v>524159.99999999994</v>
      </c>
    </row>
    <row r="344" spans="1:8" x14ac:dyDescent="0.25">
      <c r="A344" s="24"/>
      <c r="B344" s="48" t="s">
        <v>22</v>
      </c>
      <c r="C344" s="25"/>
      <c r="D344" s="26"/>
      <c r="E344" s="49"/>
      <c r="F344" s="28"/>
      <c r="G344" s="27">
        <f>H344/F342</f>
        <v>581.30624999999998</v>
      </c>
      <c r="H344" s="29">
        <f>SUM(H345:H347)</f>
        <v>870564.23999999987</v>
      </c>
    </row>
    <row r="345" spans="1:8" ht="25.5" x14ac:dyDescent="0.25">
      <c r="A345" s="24"/>
      <c r="B345" s="50"/>
      <c r="C345" s="50" t="s">
        <v>105</v>
      </c>
      <c r="D345" s="31">
        <f>0.15*1.05</f>
        <v>0.1575</v>
      </c>
      <c r="E345" s="32" t="s">
        <v>25</v>
      </c>
      <c r="F345" s="51">
        <f>(D345*F342)</f>
        <v>235.87199999999999</v>
      </c>
      <c r="G345" s="52">
        <v>2650</v>
      </c>
      <c r="H345" s="29">
        <f t="shared" ref="H345:H346" si="49">G345*F345</f>
        <v>625060.79999999993</v>
      </c>
    </row>
    <row r="346" spans="1:8" x14ac:dyDescent="0.25">
      <c r="A346" s="24"/>
      <c r="B346" s="50"/>
      <c r="C346" s="50" t="s">
        <v>28</v>
      </c>
      <c r="D346" s="31">
        <v>14</v>
      </c>
      <c r="E346" s="32" t="s">
        <v>29</v>
      </c>
      <c r="F346" s="51">
        <f>(D346*F342)</f>
        <v>20966.399999999998</v>
      </c>
      <c r="G346" s="52">
        <v>10.5</v>
      </c>
      <c r="H346" s="29">
        <f t="shared" si="49"/>
        <v>220147.19999999998</v>
      </c>
    </row>
    <row r="347" spans="1:8" x14ac:dyDescent="0.25">
      <c r="A347" s="30"/>
      <c r="B347" s="50"/>
      <c r="C347" s="50" t="s">
        <v>107</v>
      </c>
      <c r="D347" s="77" t="s">
        <v>108</v>
      </c>
      <c r="E347" s="32"/>
      <c r="F347" s="33"/>
      <c r="G347" s="34"/>
      <c r="H347" s="29">
        <f>SUM(H345:H346)*0.03</f>
        <v>25356.239999999994</v>
      </c>
    </row>
    <row r="348" spans="1:8" x14ac:dyDescent="0.25">
      <c r="A348" s="41" t="s">
        <v>69</v>
      </c>
      <c r="B348" s="42" t="s">
        <v>56</v>
      </c>
      <c r="C348" s="43"/>
      <c r="D348" s="44"/>
      <c r="E348" s="45" t="s">
        <v>20</v>
      </c>
      <c r="F348" s="46">
        <f>F336</f>
        <v>1497.6</v>
      </c>
      <c r="G348" s="46">
        <f>ROUND((H349+H350)/F348,2)</f>
        <v>7361.1</v>
      </c>
      <c r="H348" s="58">
        <f>ROUND(G348*F348,2)</f>
        <v>11023983.359999999</v>
      </c>
    </row>
    <row r="349" spans="1:8" x14ac:dyDescent="0.25">
      <c r="A349" s="24"/>
      <c r="B349" s="47" t="s">
        <v>21</v>
      </c>
      <c r="C349" s="25"/>
      <c r="D349" s="26"/>
      <c r="E349" s="27" t="s">
        <v>20</v>
      </c>
      <c r="F349" s="28">
        <f>F348</f>
        <v>1497.6</v>
      </c>
      <c r="G349" s="27">
        <v>800</v>
      </c>
      <c r="H349" s="29">
        <f>G349*F349</f>
        <v>1198080</v>
      </c>
    </row>
    <row r="350" spans="1:8" x14ac:dyDescent="0.25">
      <c r="A350" s="24"/>
      <c r="B350" s="48" t="s">
        <v>22</v>
      </c>
      <c r="C350" s="25"/>
      <c r="D350" s="26"/>
      <c r="E350" s="49"/>
      <c r="F350" s="28"/>
      <c r="G350" s="27">
        <f>H350/F348</f>
        <v>6561.1</v>
      </c>
      <c r="H350" s="29">
        <f>SUM(H351:H352)</f>
        <v>9825903.3599999994</v>
      </c>
    </row>
    <row r="351" spans="1:8" x14ac:dyDescent="0.25">
      <c r="A351" s="24"/>
      <c r="B351" s="50"/>
      <c r="C351" s="50" t="s">
        <v>57</v>
      </c>
      <c r="D351" s="31">
        <v>1.3</v>
      </c>
      <c r="E351" s="32" t="s">
        <v>20</v>
      </c>
      <c r="F351" s="51">
        <f>(D351*F348)</f>
        <v>1946.8799999999999</v>
      </c>
      <c r="G351" s="52">
        <v>4900</v>
      </c>
      <c r="H351" s="29">
        <f t="shared" ref="H351" si="50">G351*F351</f>
        <v>9539712</v>
      </c>
    </row>
    <row r="352" spans="1:8" x14ac:dyDescent="0.25">
      <c r="A352" s="30"/>
      <c r="B352" s="50"/>
      <c r="C352" s="50" t="s">
        <v>107</v>
      </c>
      <c r="D352" s="77" t="s">
        <v>108</v>
      </c>
      <c r="E352" s="32"/>
      <c r="F352" s="33"/>
      <c r="G352" s="34"/>
      <c r="H352" s="29">
        <f>SUM(H351)*0.03</f>
        <v>286191.35999999999</v>
      </c>
    </row>
    <row r="353" spans="1:8" x14ac:dyDescent="0.25">
      <c r="A353" s="35" t="s">
        <v>71</v>
      </c>
      <c r="B353" s="36" t="s">
        <v>72</v>
      </c>
      <c r="C353" s="36"/>
      <c r="D353" s="37"/>
      <c r="E353" s="38"/>
      <c r="F353" s="39"/>
      <c r="G353" s="40"/>
      <c r="H353" s="40">
        <f>H354+H359+H365+H374+H382</f>
        <v>6165117.1500000004</v>
      </c>
    </row>
    <row r="354" spans="1:8" x14ac:dyDescent="0.25">
      <c r="A354" s="41" t="s">
        <v>73</v>
      </c>
      <c r="B354" s="42" t="s">
        <v>74</v>
      </c>
      <c r="C354" s="43"/>
      <c r="D354" s="44"/>
      <c r="E354" s="45" t="s">
        <v>75</v>
      </c>
      <c r="F354" s="46">
        <v>2172</v>
      </c>
      <c r="G354" s="46">
        <f>ROUND((H355+H356)/F354,2)</f>
        <v>637.24</v>
      </c>
      <c r="H354" s="58">
        <f>ROUND(G354*F354,2)</f>
        <v>1384085.28</v>
      </c>
    </row>
    <row r="355" spans="1:8" x14ac:dyDescent="0.25">
      <c r="A355" s="24"/>
      <c r="B355" s="47" t="s">
        <v>21</v>
      </c>
      <c r="C355" s="25"/>
      <c r="D355" s="26"/>
      <c r="E355" s="27" t="s">
        <v>75</v>
      </c>
      <c r="F355" s="28">
        <f>F354</f>
        <v>2172</v>
      </c>
      <c r="G355" s="27">
        <v>320</v>
      </c>
      <c r="H355" s="29">
        <f>G355*F355</f>
        <v>695040</v>
      </c>
    </row>
    <row r="356" spans="1:8" x14ac:dyDescent="0.25">
      <c r="A356" s="24"/>
      <c r="B356" s="48" t="s">
        <v>22</v>
      </c>
      <c r="C356" s="25"/>
      <c r="D356" s="26"/>
      <c r="E356" s="49"/>
      <c r="F356" s="28"/>
      <c r="G356" s="27">
        <f>H356/F354</f>
        <v>317.24000000000007</v>
      </c>
      <c r="H356" s="29">
        <f>SUM(H357:H358)</f>
        <v>689045.28000000014</v>
      </c>
    </row>
    <row r="357" spans="1:8" ht="25.5" x14ac:dyDescent="0.25">
      <c r="A357" s="24"/>
      <c r="B357" s="50"/>
      <c r="C357" s="50" t="s">
        <v>76</v>
      </c>
      <c r="D357" s="31">
        <v>1.1000000000000001</v>
      </c>
      <c r="E357" s="32" t="s">
        <v>34</v>
      </c>
      <c r="F357" s="51">
        <f>(D357*F354)</f>
        <v>2389.2000000000003</v>
      </c>
      <c r="G357" s="52">
        <v>280</v>
      </c>
      <c r="H357" s="29">
        <f t="shared" ref="H357" si="51">G357*F357</f>
        <v>668976.00000000012</v>
      </c>
    </row>
    <row r="358" spans="1:8" x14ac:dyDescent="0.25">
      <c r="A358" s="30"/>
      <c r="B358" s="50"/>
      <c r="C358" s="50" t="s">
        <v>107</v>
      </c>
      <c r="D358" s="77" t="s">
        <v>108</v>
      </c>
      <c r="E358" s="32"/>
      <c r="F358" s="33"/>
      <c r="G358" s="34"/>
      <c r="H358" s="29">
        <f>SUM(H357)*0.03</f>
        <v>20069.280000000002</v>
      </c>
    </row>
    <row r="359" spans="1:8" x14ac:dyDescent="0.25">
      <c r="A359" s="41" t="s">
        <v>77</v>
      </c>
      <c r="B359" s="42" t="s">
        <v>78</v>
      </c>
      <c r="C359" s="43"/>
      <c r="D359" s="44"/>
      <c r="E359" s="45" t="s">
        <v>75</v>
      </c>
      <c r="F359" s="46">
        <v>1453.39</v>
      </c>
      <c r="G359" s="46">
        <f>ROUND((H360+H361)/F359,2)</f>
        <v>757.54</v>
      </c>
      <c r="H359" s="58">
        <f>ROUND(G359*F359,2)</f>
        <v>1101001.06</v>
      </c>
    </row>
    <row r="360" spans="1:8" x14ac:dyDescent="0.25">
      <c r="A360" s="24"/>
      <c r="B360" s="47" t="s">
        <v>21</v>
      </c>
      <c r="C360" s="25"/>
      <c r="D360" s="26"/>
      <c r="E360" s="27" t="s">
        <v>75</v>
      </c>
      <c r="F360" s="28">
        <f>F359</f>
        <v>1453.39</v>
      </c>
      <c r="G360" s="27">
        <v>320</v>
      </c>
      <c r="H360" s="29">
        <f>G360*F360</f>
        <v>465084.80000000005</v>
      </c>
    </row>
    <row r="361" spans="1:8" x14ac:dyDescent="0.25">
      <c r="A361" s="24"/>
      <c r="B361" s="48" t="s">
        <v>22</v>
      </c>
      <c r="C361" s="25"/>
      <c r="D361" s="26"/>
      <c r="E361" s="49"/>
      <c r="F361" s="28"/>
      <c r="G361" s="27">
        <f>H361/F359</f>
        <v>437.54400000000004</v>
      </c>
      <c r="H361" s="29">
        <f>SUM(H362:H364)</f>
        <v>635922.07416000008</v>
      </c>
    </row>
    <row r="362" spans="1:8" ht="25.5" x14ac:dyDescent="0.25">
      <c r="A362" s="24"/>
      <c r="B362" s="50"/>
      <c r="C362" s="50" t="s">
        <v>79</v>
      </c>
      <c r="D362" s="31">
        <v>1.1000000000000001</v>
      </c>
      <c r="E362" s="32" t="s">
        <v>34</v>
      </c>
      <c r="F362" s="51">
        <f>(D362*F359)</f>
        <v>1598.7290000000003</v>
      </c>
      <c r="G362" s="52">
        <v>360</v>
      </c>
      <c r="H362" s="29">
        <f t="shared" ref="H362:H363" si="52">G362*F362</f>
        <v>575542.44000000006</v>
      </c>
    </row>
    <row r="363" spans="1:8" ht="25.5" x14ac:dyDescent="0.25">
      <c r="A363" s="24"/>
      <c r="B363" s="50"/>
      <c r="C363" s="50" t="s">
        <v>35</v>
      </c>
      <c r="D363" s="31">
        <v>0.12</v>
      </c>
      <c r="E363" s="32" t="s">
        <v>24</v>
      </c>
      <c r="F363" s="51">
        <f>(D363*F359)</f>
        <v>174.4068</v>
      </c>
      <c r="G363" s="52">
        <v>240</v>
      </c>
      <c r="H363" s="29">
        <f t="shared" si="52"/>
        <v>41857.631999999998</v>
      </c>
    </row>
    <row r="364" spans="1:8" x14ac:dyDescent="0.25">
      <c r="A364" s="30"/>
      <c r="B364" s="50"/>
      <c r="C364" s="50" t="s">
        <v>107</v>
      </c>
      <c r="D364" s="77" t="s">
        <v>108</v>
      </c>
      <c r="E364" s="32"/>
      <c r="F364" s="33"/>
      <c r="G364" s="34"/>
      <c r="H364" s="29">
        <f>SUM(H362:H363)*0.03</f>
        <v>18522.00216</v>
      </c>
    </row>
    <row r="365" spans="1:8" x14ac:dyDescent="0.25">
      <c r="A365" s="41" t="s">
        <v>80</v>
      </c>
      <c r="B365" s="42" t="s">
        <v>81</v>
      </c>
      <c r="C365" s="43"/>
      <c r="D365" s="44"/>
      <c r="E365" s="45" t="s">
        <v>75</v>
      </c>
      <c r="F365" s="46">
        <v>1699.28</v>
      </c>
      <c r="G365" s="46">
        <f>ROUND((H366+H367)/F365,2)</f>
        <v>897.11</v>
      </c>
      <c r="H365" s="58">
        <f>ROUND(G365*F365,2)</f>
        <v>1524441.08</v>
      </c>
    </row>
    <row r="366" spans="1:8" x14ac:dyDescent="0.25">
      <c r="A366" s="24"/>
      <c r="B366" s="47" t="s">
        <v>21</v>
      </c>
      <c r="C366" s="25"/>
      <c r="D366" s="26"/>
      <c r="E366" s="27" t="s">
        <v>75</v>
      </c>
      <c r="F366" s="28">
        <f>F365</f>
        <v>1699.28</v>
      </c>
      <c r="G366" s="27">
        <v>320</v>
      </c>
      <c r="H366" s="29">
        <f>G366*F366</f>
        <v>543769.59999999998</v>
      </c>
    </row>
    <row r="367" spans="1:8" x14ac:dyDescent="0.25">
      <c r="A367" s="24"/>
      <c r="B367" s="48" t="s">
        <v>22</v>
      </c>
      <c r="C367" s="25"/>
      <c r="D367" s="26"/>
      <c r="E367" s="49"/>
      <c r="F367" s="28"/>
      <c r="G367" s="27">
        <f>H367/F365</f>
        <v>577.10900000000015</v>
      </c>
      <c r="H367" s="29">
        <f>SUM(H368:H373)</f>
        <v>980669.78152000019</v>
      </c>
    </row>
    <row r="368" spans="1:8" ht="25.5" x14ac:dyDescent="0.25">
      <c r="A368" s="24"/>
      <c r="B368" s="50"/>
      <c r="C368" s="50" t="s">
        <v>79</v>
      </c>
      <c r="D368" s="31">
        <v>1.1000000000000001</v>
      </c>
      <c r="E368" s="32" t="s">
        <v>34</v>
      </c>
      <c r="F368" s="51">
        <f>(D368*F365)</f>
        <v>1869.2080000000001</v>
      </c>
      <c r="G368" s="52">
        <v>350</v>
      </c>
      <c r="H368" s="29">
        <f t="shared" ref="H368:H371" si="53">G368*F368</f>
        <v>654222.80000000005</v>
      </c>
    </row>
    <row r="369" spans="1:8" ht="25.5" x14ac:dyDescent="0.25">
      <c r="A369" s="24"/>
      <c r="B369" s="50"/>
      <c r="C369" s="50" t="s">
        <v>35</v>
      </c>
      <c r="D369" s="31">
        <v>0.12</v>
      </c>
      <c r="E369" s="32" t="s">
        <v>24</v>
      </c>
      <c r="F369" s="51">
        <f>(D369*F365)</f>
        <v>203.9136</v>
      </c>
      <c r="G369" s="52">
        <v>240</v>
      </c>
      <c r="H369" s="29">
        <f t="shared" si="53"/>
        <v>48939.264000000003</v>
      </c>
    </row>
    <row r="370" spans="1:8" x14ac:dyDescent="0.25">
      <c r="A370" s="24"/>
      <c r="B370" s="47"/>
      <c r="C370" s="50" t="s">
        <v>82</v>
      </c>
      <c r="D370" s="31">
        <v>0.2</v>
      </c>
      <c r="E370" s="32" t="s">
        <v>29</v>
      </c>
      <c r="F370" s="51">
        <f>(D370*F366)</f>
        <v>339.85599999999999</v>
      </c>
      <c r="G370" s="52">
        <v>320</v>
      </c>
      <c r="H370" s="29">
        <f t="shared" si="53"/>
        <v>108753.92</v>
      </c>
    </row>
    <row r="371" spans="1:8" x14ac:dyDescent="0.25">
      <c r="A371" s="24"/>
      <c r="B371" s="47"/>
      <c r="C371" s="50" t="s">
        <v>83</v>
      </c>
      <c r="D371" s="31">
        <v>2</v>
      </c>
      <c r="E371" s="32" t="s">
        <v>29</v>
      </c>
      <c r="F371" s="51">
        <f>(D371*F366)</f>
        <v>3398.56</v>
      </c>
      <c r="G371" s="52">
        <v>30</v>
      </c>
      <c r="H371" s="29">
        <f t="shared" si="53"/>
        <v>101956.8</v>
      </c>
    </row>
    <row r="372" spans="1:8" x14ac:dyDescent="0.25">
      <c r="A372" s="24"/>
      <c r="B372" s="47"/>
      <c r="C372" s="50" t="s">
        <v>84</v>
      </c>
      <c r="D372" s="31">
        <v>5</v>
      </c>
      <c r="E372" s="32" t="s">
        <v>29</v>
      </c>
      <c r="F372" s="51">
        <f>(D372*F366)</f>
        <v>8496.4</v>
      </c>
      <c r="G372" s="52">
        <v>4.5</v>
      </c>
      <c r="H372" s="29">
        <f>G372*F372</f>
        <v>38233.799999999996</v>
      </c>
    </row>
    <row r="373" spans="1:8" x14ac:dyDescent="0.25">
      <c r="A373" s="30"/>
      <c r="B373" s="50"/>
      <c r="C373" s="50" t="s">
        <v>107</v>
      </c>
      <c r="D373" s="77" t="s">
        <v>108</v>
      </c>
      <c r="E373" s="32"/>
      <c r="F373" s="33"/>
      <c r="G373" s="34"/>
      <c r="H373" s="29">
        <f>SUM(H368:H372)*0.03</f>
        <v>28563.197520000005</v>
      </c>
    </row>
    <row r="374" spans="1:8" x14ac:dyDescent="0.25">
      <c r="A374" s="54" t="s">
        <v>85</v>
      </c>
      <c r="B374" s="80" t="s">
        <v>86</v>
      </c>
      <c r="C374" s="81"/>
      <c r="D374" s="55"/>
      <c r="E374" s="56" t="s">
        <v>29</v>
      </c>
      <c r="F374" s="57">
        <v>456</v>
      </c>
      <c r="G374" s="46">
        <f>ROUND((H375+H376)/F374,2)</f>
        <v>4309.63</v>
      </c>
      <c r="H374" s="58">
        <f>ROUND(G374*F374,2)</f>
        <v>1965191.28</v>
      </c>
    </row>
    <row r="375" spans="1:8" x14ac:dyDescent="0.25">
      <c r="A375" s="24"/>
      <c r="B375" s="50" t="s">
        <v>21</v>
      </c>
      <c r="C375" s="50"/>
      <c r="D375" s="31"/>
      <c r="E375" s="32" t="s">
        <v>29</v>
      </c>
      <c r="F375" s="28">
        <f>F374</f>
        <v>456</v>
      </c>
      <c r="G375" s="52">
        <v>1000</v>
      </c>
      <c r="H375" s="29">
        <f>F375*G375</f>
        <v>456000</v>
      </c>
    </row>
    <row r="376" spans="1:8" x14ac:dyDescent="0.25">
      <c r="A376" s="24"/>
      <c r="B376" s="50" t="s">
        <v>18</v>
      </c>
      <c r="C376" s="50"/>
      <c r="D376" s="31"/>
      <c r="E376" s="32"/>
      <c r="F376" s="51"/>
      <c r="G376" s="27">
        <f>H376/F374</f>
        <v>3309.6268999999998</v>
      </c>
      <c r="H376" s="29">
        <f>SUM(H377:H381)</f>
        <v>1509189.8663999999</v>
      </c>
    </row>
    <row r="377" spans="1:8" x14ac:dyDescent="0.25">
      <c r="A377" s="24"/>
      <c r="B377" s="50"/>
      <c r="C377" s="50" t="s">
        <v>87</v>
      </c>
      <c r="D377" s="31">
        <v>1</v>
      </c>
      <c r="E377" s="32" t="s">
        <v>88</v>
      </c>
      <c r="F377" s="51">
        <f>(D377*F374)</f>
        <v>456</v>
      </c>
      <c r="G377" s="52">
        <v>3000</v>
      </c>
      <c r="H377" s="29">
        <f t="shared" ref="H377:H380" si="54">G377*F377</f>
        <v>1368000</v>
      </c>
    </row>
    <row r="378" spans="1:8" x14ac:dyDescent="0.25">
      <c r="A378" s="24"/>
      <c r="B378" s="50"/>
      <c r="C378" s="50" t="s">
        <v>89</v>
      </c>
      <c r="D378" s="31">
        <v>0.2</v>
      </c>
      <c r="E378" s="32" t="s">
        <v>24</v>
      </c>
      <c r="F378" s="51">
        <f>(D378*F374)</f>
        <v>91.2</v>
      </c>
      <c r="G378" s="52">
        <v>300</v>
      </c>
      <c r="H378" s="29">
        <f t="shared" si="54"/>
        <v>27360</v>
      </c>
    </row>
    <row r="379" spans="1:8" x14ac:dyDescent="0.25">
      <c r="A379" s="24"/>
      <c r="B379" s="50"/>
      <c r="C379" s="50" t="s">
        <v>90</v>
      </c>
      <c r="D379" s="31">
        <v>0.35</v>
      </c>
      <c r="E379" s="32" t="s">
        <v>29</v>
      </c>
      <c r="F379" s="51">
        <f>(D379*F374)</f>
        <v>159.6</v>
      </c>
      <c r="G379" s="52">
        <f>329*1.1</f>
        <v>361.90000000000003</v>
      </c>
      <c r="H379" s="29">
        <f t="shared" si="54"/>
        <v>57759.240000000005</v>
      </c>
    </row>
    <row r="380" spans="1:8" x14ac:dyDescent="0.25">
      <c r="A380" s="24"/>
      <c r="B380" s="50"/>
      <c r="C380" s="50" t="s">
        <v>91</v>
      </c>
      <c r="D380" s="31">
        <v>0.21</v>
      </c>
      <c r="E380" s="32" t="s">
        <v>27</v>
      </c>
      <c r="F380" s="51">
        <f>(D380*F374)</f>
        <v>95.759999999999991</v>
      </c>
      <c r="G380" s="52">
        <f>115*1.1</f>
        <v>126.50000000000001</v>
      </c>
      <c r="H380" s="29">
        <f t="shared" si="54"/>
        <v>12113.64</v>
      </c>
    </row>
    <row r="381" spans="1:8" x14ac:dyDescent="0.25">
      <c r="A381" s="30"/>
      <c r="B381" s="50"/>
      <c r="C381" s="50" t="s">
        <v>107</v>
      </c>
      <c r="D381" s="77" t="s">
        <v>108</v>
      </c>
      <c r="E381" s="32"/>
      <c r="F381" s="33"/>
      <c r="G381" s="34"/>
      <c r="H381" s="29">
        <f>SUM(H377:H380)*0.03</f>
        <v>43956.986399999994</v>
      </c>
    </row>
    <row r="382" spans="1:8" x14ac:dyDescent="0.25">
      <c r="A382" s="41" t="s">
        <v>129</v>
      </c>
      <c r="B382" s="42" t="s">
        <v>126</v>
      </c>
      <c r="C382" s="43"/>
      <c r="D382" s="44"/>
      <c r="E382" s="45" t="s">
        <v>75</v>
      </c>
      <c r="F382" s="46">
        <v>197.56</v>
      </c>
      <c r="G382" s="46">
        <f>ROUND((H383+H384)/F382,2)</f>
        <v>963.75</v>
      </c>
      <c r="H382" s="58">
        <f>ROUND(G382*F382,2)</f>
        <v>190398.45</v>
      </c>
    </row>
    <row r="383" spans="1:8" x14ac:dyDescent="0.25">
      <c r="A383" s="24"/>
      <c r="B383" s="47" t="s">
        <v>21</v>
      </c>
      <c r="C383" s="25"/>
      <c r="D383" s="26"/>
      <c r="E383" s="27" t="s">
        <v>75</v>
      </c>
      <c r="F383" s="28">
        <f>F382</f>
        <v>197.56</v>
      </c>
      <c r="G383" s="27">
        <v>320</v>
      </c>
      <c r="H383" s="29">
        <f>G383*F383</f>
        <v>63219.199999999997</v>
      </c>
    </row>
    <row r="384" spans="1:8" x14ac:dyDescent="0.25">
      <c r="A384" s="24"/>
      <c r="B384" s="48" t="s">
        <v>22</v>
      </c>
      <c r="C384" s="25"/>
      <c r="D384" s="26"/>
      <c r="E384" s="49"/>
      <c r="F384" s="28"/>
      <c r="G384" s="27">
        <f>H384/F382</f>
        <v>643.75</v>
      </c>
      <c r="H384" s="29">
        <f>SUM(H385:H387)</f>
        <v>127179.25</v>
      </c>
    </row>
    <row r="385" spans="1:8" x14ac:dyDescent="0.25">
      <c r="A385" s="24"/>
      <c r="B385" s="50"/>
      <c r="C385" s="50" t="s">
        <v>127</v>
      </c>
      <c r="D385" s="31">
        <v>0.05</v>
      </c>
      <c r="E385" s="32" t="s">
        <v>34</v>
      </c>
      <c r="F385" s="51">
        <f>(D385*F382)</f>
        <v>9.8780000000000001</v>
      </c>
      <c r="G385" s="52">
        <v>3700</v>
      </c>
      <c r="H385" s="29">
        <f t="shared" ref="H385:H386" si="55">G385*F385</f>
        <v>36548.6</v>
      </c>
    </row>
    <row r="386" spans="1:8" x14ac:dyDescent="0.25">
      <c r="A386" s="30"/>
      <c r="B386" s="50"/>
      <c r="C386" s="50" t="s">
        <v>128</v>
      </c>
      <c r="D386" s="31">
        <v>1.1000000000000001</v>
      </c>
      <c r="E386" s="32" t="s">
        <v>34</v>
      </c>
      <c r="F386" s="51">
        <f>D386*F382</f>
        <v>217.31600000000003</v>
      </c>
      <c r="G386" s="32">
        <v>400</v>
      </c>
      <c r="H386" s="29">
        <f t="shared" si="55"/>
        <v>86926.400000000009</v>
      </c>
    </row>
    <row r="387" spans="1:8" x14ac:dyDescent="0.25">
      <c r="A387" s="30"/>
      <c r="B387" s="50"/>
      <c r="C387" s="50" t="s">
        <v>107</v>
      </c>
      <c r="D387" s="77" t="s">
        <v>108</v>
      </c>
      <c r="E387" s="32"/>
      <c r="F387" s="33"/>
      <c r="G387" s="34"/>
      <c r="H387" s="29">
        <f>SUM(H385:H386)*0.03</f>
        <v>3704.25</v>
      </c>
    </row>
    <row r="388" spans="1:8" x14ac:dyDescent="0.25">
      <c r="A388" s="59"/>
      <c r="B388" s="60" t="s">
        <v>92</v>
      </c>
      <c r="C388" s="61"/>
      <c r="D388" s="61"/>
      <c r="E388" s="61"/>
      <c r="F388" s="62"/>
      <c r="G388" s="63"/>
      <c r="H388" s="64">
        <f>H19+H40+H58+H79+H100+H121+H142+H163+H184+H202+H223+H251+H263+H281+H299+H317+H335+H353</f>
        <v>75409066.560000002</v>
      </c>
    </row>
    <row r="389" spans="1:8" x14ac:dyDescent="0.25">
      <c r="A389" s="59"/>
      <c r="B389" s="60" t="s">
        <v>93</v>
      </c>
      <c r="C389" s="61"/>
      <c r="D389" s="61"/>
      <c r="E389" s="61"/>
      <c r="F389" s="62"/>
      <c r="G389" s="63"/>
      <c r="H389" s="64">
        <f>H388-H388/1.2</f>
        <v>12568177.759999998</v>
      </c>
    </row>
    <row r="390" spans="1:8" x14ac:dyDescent="0.25">
      <c r="A390" s="59"/>
      <c r="B390" s="65" t="s">
        <v>94</v>
      </c>
      <c r="C390" s="66"/>
      <c r="D390" s="66"/>
      <c r="E390" s="66"/>
      <c r="F390" s="67"/>
      <c r="G390" s="68"/>
      <c r="H390" s="69">
        <f>H355+H360+H366+H375+H383+H349+H343+H337+H331+H325+H319+H313+H307+H301+H295+H289+H283+H277+H271+H265+H259+H253+H246+H239+H233+H225+H218+H212+H204+H197+H191+H186+H179+H173+H165+H158+H152+H144+H137+H131+H123+H116+H110+H102+H95+H89+H81+H74+H68+H60+H53+H47+H42+H35+H29+H21</f>
        <v>23259660.920000002</v>
      </c>
    </row>
    <row r="391" spans="1:8" x14ac:dyDescent="0.25">
      <c r="A391" s="70"/>
      <c r="B391" s="71" t="s">
        <v>95</v>
      </c>
      <c r="C391" s="72"/>
      <c r="D391" s="72"/>
      <c r="E391" s="72"/>
      <c r="F391" s="73"/>
      <c r="G391" s="67"/>
      <c r="H391" s="74">
        <f>H384+H376+H367+H361+H356+H350+H344+H338+H332+H326+H320+H314+H308+H296+H302+H290+H284+H278+H272+H266+H260+H254+H247+H240+H234+H226+H219+H213+H205+H198+H192+H187+H180+H174+H166+H159+H153+H145+H138+H132+H124+H117+H111+H103+H96+H90+H82+H75+H69+H61+H54+H48+H43+H36+H30+H22</f>
        <v>52149393.692904994</v>
      </c>
    </row>
  </sheetData>
  <mergeCells count="5">
    <mergeCell ref="B374:C374"/>
    <mergeCell ref="A2:H2"/>
    <mergeCell ref="A3:H3"/>
    <mergeCell ref="C5:H5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Проба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2020-03-18T10:08:24Z</dcterms:modified>
</cp:coreProperties>
</file>